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ummary" sheetId="1" r:id="rId1"/>
    <sheet name="Assumptions" sheetId="2" r:id="rId2"/>
    <sheet name="Base" sheetId="3" r:id="rId3"/>
    <sheet name="Bear" sheetId="4" r:id="rId4"/>
    <sheet name="Bull" sheetId="5" r:id="rId5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0"/>
  <sheetViews>
    <sheetView workbookViewId="0"/>
  </sheetViews>
  <cols>
    <col min="1" max="1" width="40.83203125" customWidth="1"/>
    <col min="2" max="2" width="16.83203125" customWidth="1"/>
    <col min="3" max="3" width="16.83203125" customWidth="1"/>
    <col min="4" max="4" width="16.83203125" customWidth="1"/>
  </cols>
  <sheetData>
    <row r="1">
      <c r="A1" t="str">
        <v>OmegAi — 3-year summary. Illustrative, founder assumptions, September 2026. Pre-revenue today.</v>
      </c>
    </row>
    <row r="3">
      <c r="A3" t="str">
        <v>Base case</v>
      </c>
      <c r="B3" t="str">
        <v>Year 1</v>
      </c>
      <c r="C3" t="str">
        <v>Year 2</v>
      </c>
      <c r="D3" t="str">
        <v>Year 3</v>
      </c>
    </row>
    <row r="4">
      <c r="A4" t="str">
        <v>Sites at year end</v>
      </c>
      <c r="B4">
        <f>'Base'!E42</f>
        <v>29.92</v>
      </c>
      <c r="C4">
        <f>'Base'!E43</f>
        <v>124.48</v>
      </c>
      <c r="D4">
        <f>'Base'!E44</f>
        <v>347.11</v>
      </c>
    </row>
    <row r="5">
      <c r="A5" t="str">
        <v>ARR exit rate (£)</v>
      </c>
      <c r="B5">
        <f>'Base'!I42</f>
        <v>445989.86</v>
      </c>
      <c r="C5">
        <f>'Base'!I43</f>
        <v>2270543.07</v>
      </c>
      <c r="D5">
        <f>'Base'!I44</f>
        <v>6588440.53</v>
      </c>
    </row>
    <row r="6">
      <c r="A6" t="str">
        <v>Total revenue (£)</v>
      </c>
      <c r="B6">
        <f>'Base'!H42</f>
        <v>357044.35</v>
      </c>
      <c r="C6">
        <f>'Base'!H43</f>
        <v>1959965.16</v>
      </c>
      <c r="D6">
        <f>'Base'!H44</f>
        <v>5794167.78</v>
      </c>
    </row>
    <row r="7">
      <c r="A7" t="str">
        <v>Total costs (£)</v>
      </c>
      <c r="B7">
        <f>'Base'!O42</f>
        <v>640155.34</v>
      </c>
      <c r="C7">
        <f>'Base'!O43</f>
        <v>1610543.73</v>
      </c>
      <c r="D7">
        <f>'Base'!O44</f>
        <v>3389192.09</v>
      </c>
    </row>
    <row r="8">
      <c r="A8" t="str">
        <v>EBITDA (£)</v>
      </c>
      <c r="B8">
        <f>'Base'!P42</f>
        <v>-283110.98</v>
      </c>
      <c r="C8">
        <f>'Base'!P43</f>
        <v>349421.43</v>
      </c>
      <c r="D8">
        <f>'Base'!P44</f>
        <v>2404975.69</v>
      </c>
    </row>
    <row r="9">
      <c r="A9" t="str">
        <v>Cumulative EBITDA (£)</v>
      </c>
      <c r="B9">
        <f>'Base'!Q42</f>
        <v>-283110.98</v>
      </c>
      <c r="C9">
        <f>'Base'!Q43</f>
        <v>66310.45</v>
      </c>
      <c r="D9">
        <f>'Base'!Q44</f>
        <v>2471286.14</v>
      </c>
    </row>
    <row r="10">
      <c r="A10" t="str">
        <v>Headcount</v>
      </c>
      <c r="B10">
        <f>'Base'!S42</f>
        <v>3</v>
      </c>
      <c r="C10">
        <f>'Base'!S43</f>
        <v>6</v>
      </c>
      <c r="D10">
        <f>'Base'!S44</f>
        <v>10</v>
      </c>
    </row>
    <row r="11">
      <c r="A11" t="str">
        <v>Peak funding need before funding (£)</v>
      </c>
      <c r="B11">
        <f>'Base'!Q46</f>
        <v>-337147.71</v>
      </c>
    </row>
    <row r="12">
      <c r="A12" t="str">
        <v>First month with positive EBITDA</v>
      </c>
      <c r="B12">
        <f>'Base'!Q47</f>
        <v>16</v>
      </c>
    </row>
    <row r="15">
      <c r="A15" t="str">
        <v>Bear case</v>
      </c>
      <c r="B15" t="str">
        <v>Year 1</v>
      </c>
      <c r="C15" t="str">
        <v>Year 2</v>
      </c>
      <c r="D15" t="str">
        <v>Year 3</v>
      </c>
    </row>
    <row r="16">
      <c r="A16" t="str">
        <v>Sites at year end</v>
      </c>
      <c r="B16">
        <f>'Bear'!E42</f>
        <v>13.57</v>
      </c>
      <c r="C16">
        <f>'Bear'!E43</f>
        <v>61.08</v>
      </c>
      <c r="D16">
        <f>'Bear'!E44</f>
        <v>178.11</v>
      </c>
    </row>
    <row r="17">
      <c r="A17" t="str">
        <v>ARR exit rate (£)</v>
      </c>
      <c r="B17">
        <f>'Bear'!I42</f>
        <v>202181.25</v>
      </c>
      <c r="C17">
        <f>'Bear'!I43</f>
        <v>1114024.14</v>
      </c>
      <c r="D17">
        <f>'Bear'!I44</f>
        <v>3380721.83</v>
      </c>
    </row>
    <row r="18">
      <c r="A18" t="str">
        <v>Total revenue (£)</v>
      </c>
      <c r="B18">
        <f>'Bear'!H42</f>
        <v>152539.27</v>
      </c>
      <c r="C18">
        <f>'Bear'!H43</f>
        <v>956862.08</v>
      </c>
      <c r="D18">
        <f>'Bear'!H44</f>
        <v>2959959.13</v>
      </c>
    </row>
    <row r="19">
      <c r="A19" t="str">
        <v>Total costs (£)</v>
      </c>
      <c r="B19">
        <f>'Bear'!O42</f>
        <v>524360.61</v>
      </c>
      <c r="C19">
        <f>'Bear'!O43</f>
        <v>1078229.69</v>
      </c>
      <c r="D19">
        <f>'Bear'!O44</f>
        <v>2220286.24</v>
      </c>
    </row>
    <row r="20">
      <c r="A20" t="str">
        <v>EBITDA (£)</v>
      </c>
      <c r="B20">
        <f>'Bear'!P42</f>
        <v>-371821.35</v>
      </c>
      <c r="C20">
        <f>'Bear'!P43</f>
        <v>-121367.62</v>
      </c>
      <c r="D20">
        <f>'Bear'!P44</f>
        <v>739672.89</v>
      </c>
    </row>
    <row r="21">
      <c r="A21" t="str">
        <v>Cumulative EBITDA (£)</v>
      </c>
      <c r="B21">
        <f>'Bear'!Q42</f>
        <v>-371821.35</v>
      </c>
      <c r="C21">
        <f>'Bear'!Q43</f>
        <v>-493188.96</v>
      </c>
      <c r="D21">
        <f>'Bear'!Q44</f>
        <v>246483.93</v>
      </c>
    </row>
    <row r="22">
      <c r="A22" t="str">
        <v>Headcount</v>
      </c>
      <c r="B22">
        <f>'Bear'!S42</f>
        <v>3</v>
      </c>
      <c r="C22">
        <f>'Bear'!S43</f>
        <v>6</v>
      </c>
      <c r="D22">
        <f>'Bear'!S44</f>
        <v>10</v>
      </c>
    </row>
    <row r="23">
      <c r="A23" t="str">
        <v>Peak funding need before funding (£)</v>
      </c>
      <c r="B23">
        <f>'Bear'!Q46</f>
        <v>-503764.31</v>
      </c>
    </row>
    <row r="24">
      <c r="A24" t="str">
        <v>First month with positive EBITDA</v>
      </c>
      <c r="B24">
        <f>'Bear'!Q47</f>
        <v>23</v>
      </c>
    </row>
    <row r="27">
      <c r="A27" t="str">
        <v>Bull case</v>
      </c>
      <c r="B27" t="str">
        <v>Year 1</v>
      </c>
      <c r="C27" t="str">
        <v>Year 2</v>
      </c>
      <c r="D27" t="str">
        <v>Year 3</v>
      </c>
    </row>
    <row r="28">
      <c r="A28" t="str">
        <v>Sites at year end</v>
      </c>
      <c r="B28">
        <f>'Bull'!E42</f>
        <v>60.78</v>
      </c>
      <c r="C28">
        <f>'Bull'!E43</f>
        <v>255.27</v>
      </c>
      <c r="D28">
        <f>'Bull'!E44</f>
        <v>677.36</v>
      </c>
    </row>
    <row r="29">
      <c r="A29" t="str">
        <v>ARR exit rate (£)</v>
      </c>
      <c r="B29">
        <f>'Bull'!I42</f>
        <v>905916.91</v>
      </c>
      <c r="C29">
        <f>'Bull'!I43</f>
        <v>4656161.5</v>
      </c>
      <c r="D29">
        <f>'Bull'!I44</f>
        <v>12856989.8</v>
      </c>
    </row>
    <row r="30">
      <c r="A30" t="str">
        <v>Total revenue (£)</v>
      </c>
      <c r="B30">
        <f>'Bull'!H42</f>
        <v>725246.34</v>
      </c>
      <c r="C30">
        <f>'Bull'!H43</f>
        <v>4016775.82</v>
      </c>
      <c r="D30">
        <f>'Bull'!H44</f>
        <v>11365251.89</v>
      </c>
    </row>
    <row r="31">
      <c r="A31" t="str">
        <v>Total costs (£)</v>
      </c>
      <c r="B31">
        <f>'Bull'!O42</f>
        <v>914815.53</v>
      </c>
      <c r="C31">
        <f>'Bull'!O43</f>
        <v>2544977.71</v>
      </c>
      <c r="D31">
        <f>'Bull'!O44</f>
        <v>5363216.57</v>
      </c>
    </row>
    <row r="32">
      <c r="A32" t="str">
        <v>EBITDA (£)</v>
      </c>
      <c r="B32">
        <f>'Bull'!P42</f>
        <v>-189569.18</v>
      </c>
      <c r="C32">
        <f>'Bull'!P43</f>
        <v>1471798.11</v>
      </c>
      <c r="D32">
        <f>'Bull'!P44</f>
        <v>6002035.32</v>
      </c>
    </row>
    <row r="33">
      <c r="A33" t="str">
        <v>Cumulative EBITDA (£)</v>
      </c>
      <c r="B33">
        <f>'Bull'!Q42</f>
        <v>-189569.18</v>
      </c>
      <c r="C33">
        <f>'Bull'!Q43</f>
        <v>1282228.93</v>
      </c>
      <c r="D33">
        <f>'Bull'!Q44</f>
        <v>7284264.25</v>
      </c>
    </row>
    <row r="34">
      <c r="A34" t="str">
        <v>Headcount</v>
      </c>
      <c r="B34">
        <f>'Bull'!S42</f>
        <v>6</v>
      </c>
      <c r="C34">
        <f>'Bull'!S43</f>
        <v>10</v>
      </c>
      <c r="D34">
        <f>'Bull'!S44</f>
        <v>10</v>
      </c>
    </row>
    <row r="35">
      <c r="A35" t="str">
        <v>Peak funding need before funding (£)</v>
      </c>
      <c r="B35">
        <f>'Bull'!Q46</f>
        <v>-191524.21</v>
      </c>
    </row>
    <row r="36">
      <c r="A36" t="str">
        <v>First month with positive EBITDA</v>
      </c>
      <c r="B36">
        <f>'Bull'!Q47</f>
        <v>9</v>
      </c>
    </row>
    <row r="39">
      <c r="A39" t="str">
        <v>Use of funds (suggested split of the raise): product &amp; engineering 45%, sales &amp; onboarding 30%, pilots &amp; marketing 15%, working capital 10%.</v>
      </c>
    </row>
    <row r="40">
      <c r="A40" t="str">
        <v>Raise amount, valuation and team hires are placeholders for George to confirm.</v>
      </c>
    </row>
  </sheetData>
  <ignoredErrors>
    <ignoredError numberStoredAsText="1" sqref="A1:D4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58"/>
  <sheetViews>
    <sheetView workbookViewId="0"/>
  </sheetViews>
  <cols>
    <col min="1" max="1" width="58.83203125" customWidth="1"/>
    <col min="2" max="2" width="16.83203125" customWidth="1"/>
    <col min="3" max="3" width="22.83203125" customWidth="1"/>
    <col min="4" max="4" width="22.83203125" customWidth="1"/>
    <col min="5" max="5" width="22.83203125" customWidth="1"/>
  </cols>
  <sheetData>
    <row r="1">
      <c r="A1" t="str">
        <v>OmegAi — illustrative financial model. Founder assumptions, September 2026.</v>
      </c>
    </row>
    <row r="2">
      <c r="A2" t="str">
        <v>Pre-revenue, in-house proven. OmegAi has £0 external revenue today. Every figure here is an assumption for planning; change any value in column B–E and the Base/Bear/Bull sheets recalculate.</v>
      </c>
    </row>
    <row r="4">
      <c r="A4" t="str">
        <v>Subscription price per site per month (£)</v>
      </c>
      <c r="C4" t="str">
        <v>Note</v>
      </c>
    </row>
    <row r="5">
      <c r="A5" t="str">
        <v>Starter</v>
      </c>
      <c r="B5">
        <v>1200</v>
      </c>
      <c r="C5" t="str">
        <v>Single site, up to 3 agents</v>
      </c>
    </row>
    <row r="6">
      <c r="A6" t="str">
        <v>Group</v>
      </c>
      <c r="B6">
        <v>1800</v>
      </c>
      <c r="C6" t="str">
        <v>2–10 sites, any agents</v>
      </c>
    </row>
    <row r="7">
      <c r="A7" t="str">
        <v>Enterprise</v>
      </c>
      <c r="B7">
        <v>2500</v>
      </c>
      <c r="C7" t="str">
        <v>10+ sites, full set, own security review</v>
      </c>
    </row>
    <row r="9">
      <c r="A9" t="str">
        <v>Setup fees (£)</v>
      </c>
    </row>
    <row r="10">
      <c r="A10" t="str">
        <v>Starter (per site)</v>
      </c>
      <c r="B10">
        <v>5000</v>
      </c>
    </row>
    <row r="11">
      <c r="A11" t="str">
        <v>Group (per deal)</v>
      </c>
      <c r="B11">
        <v>15000</v>
      </c>
    </row>
    <row r="12">
      <c r="A12" t="str">
        <v>Enterprise (per deal)</v>
      </c>
      <c r="B12">
        <v>40000</v>
      </c>
    </row>
    <row r="13">
      <c r="A13" t="str">
        <v>Average sites per Group deal</v>
      </c>
      <c r="B13">
        <v>4</v>
      </c>
    </row>
    <row r="14">
      <c r="A14" t="str">
        <v>Average sites per Enterprise deal</v>
      </c>
      <c r="B14">
        <v>15</v>
      </c>
    </row>
    <row r="16">
      <c r="A16" t="str">
        <v>Tier mix of new sites</v>
      </c>
      <c r="B16" t="str">
        <v>Year 1</v>
      </c>
      <c r="C16" t="str">
        <v>Year 2</v>
      </c>
      <c r="D16" t="str">
        <v>Year 3</v>
      </c>
    </row>
    <row r="17">
      <c r="A17" t="str">
        <v>Starter share</v>
      </c>
      <c r="B17">
        <v>0.7</v>
      </c>
      <c r="C17">
        <v>0.45</v>
      </c>
      <c r="D17">
        <v>0.4</v>
      </c>
    </row>
    <row r="18">
      <c r="A18" t="str">
        <v>Group share</v>
      </c>
      <c r="B18">
        <v>0.3</v>
      </c>
      <c r="C18">
        <v>0.45</v>
      </c>
      <c r="D18">
        <v>0.45</v>
      </c>
    </row>
    <row r="19">
      <c r="A19" t="str">
        <v>Enterprise share</v>
      </c>
      <c r="B19">
        <v>0</v>
      </c>
      <c r="C19">
        <v>0.1</v>
      </c>
      <c r="D19">
        <v>0.15</v>
      </c>
    </row>
    <row r="20">
      <c r="A20" t="str">
        <v>Average discount (pilot pricing)</v>
      </c>
      <c r="B20">
        <v>0.1</v>
      </c>
      <c r="C20">
        <v>0.05</v>
      </c>
      <c r="D20">
        <v>0.05</v>
      </c>
    </row>
    <row r="21">
      <c r="A21" t="str">
        <v>Blended subscription per site per month (£) — calculated</v>
      </c>
      <c r="B21">
        <f>($B$5*B17+$B$6*B18+$B$7*B19)*(1-B20)</f>
        <v>1242</v>
      </c>
      <c r="C21">
        <f>($B$5*C17+$B$6*C18+$B$7*C19)*(1-C20)</f>
        <v>1520</v>
      </c>
      <c r="D21">
        <f>($B$5*D17+$B$6*D18+$B$7*D19)*(1-D20)</f>
        <v>1581.75</v>
      </c>
    </row>
    <row r="22">
      <c r="A22" t="str">
        <v>Blended setup revenue per new site (£) — calculated</v>
      </c>
      <c r="B22">
        <f>$B$10*B17+$B$11/$B$13*B18+$B$12/$B$14*B19</f>
        <v>4625</v>
      </c>
      <c r="C22">
        <f>$B$10*C17+$B$11/$B$13*C18+$B$12/$B$14*C19</f>
        <v>4204.17</v>
      </c>
      <c r="D22">
        <f>$B$10*D17+$B$11/$B$13*D18+$B$12/$B$14*D19</f>
        <v>4087.5</v>
      </c>
    </row>
    <row r="24">
      <c r="A24" t="str">
        <v>Sites</v>
      </c>
      <c r="B24" t="str">
        <v>Base</v>
      </c>
      <c r="C24" t="str">
        <v>Bear</v>
      </c>
      <c r="D24" t="str">
        <v>Bull</v>
      </c>
    </row>
    <row r="25">
      <c r="A25" t="str">
        <v>New sites per month, Year 1</v>
      </c>
      <c r="B25">
        <v>3.2</v>
      </c>
      <c r="C25">
        <v>1.6</v>
      </c>
      <c r="D25">
        <v>6.5</v>
      </c>
    </row>
    <row r="26">
      <c r="A26" t="str">
        <v>New sites per month, Year 2</v>
      </c>
      <c r="B26">
        <v>9</v>
      </c>
      <c r="C26">
        <v>4.5</v>
      </c>
      <c r="D26">
        <v>18.5</v>
      </c>
    </row>
    <row r="27">
      <c r="A27" t="str">
        <v>New sites per month, Year 3</v>
      </c>
      <c r="B27">
        <v>22</v>
      </c>
      <c r="C27">
        <v>11.5</v>
      </c>
      <c r="D27">
        <v>42</v>
      </c>
    </row>
    <row r="28">
      <c r="A28" t="str">
        <v>Months before first paying site (pilot period)</v>
      </c>
      <c r="B28">
        <v>2</v>
      </c>
      <c r="C28">
        <v>3</v>
      </c>
      <c r="D28">
        <v>2</v>
      </c>
    </row>
    <row r="29">
      <c r="A29" t="str">
        <v>Monthly churn (share of active sites)</v>
      </c>
      <c r="B29">
        <v>0.02</v>
      </c>
      <c r="C29" t="str">
        <v>1.5% a month ≈ 17% a year</v>
      </c>
    </row>
    <row r="31">
      <c r="A31" t="str">
        <v>Direct costs (£)</v>
      </c>
    </row>
    <row r="32">
      <c r="A32" t="str">
        <v>Model + hosting cost per active site per month</v>
      </c>
      <c r="B32">
        <v>200</v>
      </c>
      <c r="C32" t="str">
        <v>Range £150–£250; our own dealership whole-stack running cost is ~£2,400/month across 4 sites</v>
      </c>
    </row>
    <row r="33">
      <c r="A33" t="str">
        <v>Fixed platform hosting per month</v>
      </c>
      <c r="B33">
        <v>1500</v>
      </c>
    </row>
    <row r="34">
      <c r="A34" t="str">
        <v>Onboarding cost per new site (travel, hours)</v>
      </c>
      <c r="B34">
        <v>3500</v>
      </c>
    </row>
    <row r="35">
      <c r="A35" t="str">
        <v>Sales commission as share of (setup fee + 12 months subscription)</v>
      </c>
      <c r="B35">
        <v>0.1</v>
      </c>
    </row>
    <row r="36">
      <c r="A36" t="str">
        <v>Staff (fully loaded annual cost, £)</v>
      </c>
      <c r="B36" t="str">
        <v>Annual cost</v>
      </c>
      <c r="C36" t="str">
        <v>Start month — Base</v>
      </c>
      <c r="D36" t="str">
        <v>Start month — Bear</v>
      </c>
      <c r="E36" t="str">
        <v>Start month — Bull</v>
      </c>
    </row>
    <row r="37">
      <c r="A37" t="str">
        <v>Founder / CEO (George Manning)</v>
      </c>
      <c r="B37">
        <v>60000</v>
      </c>
      <c r="C37">
        <v>1</v>
      </c>
      <c r="D37">
        <v>1</v>
      </c>
      <c r="E37">
        <v>1</v>
      </c>
    </row>
    <row r="38">
      <c r="A38" t="str">
        <v>CTO / lead engineer (hire)</v>
      </c>
      <c r="B38">
        <v>110000</v>
      </c>
      <c r="C38">
        <v>1</v>
      </c>
      <c r="D38">
        <v>1</v>
      </c>
      <c r="E38">
        <v>1</v>
      </c>
    </row>
    <row r="39">
      <c r="A39" t="str">
        <v>Head of dealer onboarding (hire)</v>
      </c>
      <c r="B39">
        <v>65000</v>
      </c>
      <c r="C39">
        <v>1</v>
      </c>
      <c r="D39">
        <v>1</v>
      </c>
      <c r="E39">
        <v>1</v>
      </c>
    </row>
    <row r="40">
      <c r="A40" t="str">
        <v>Engineer 2</v>
      </c>
      <c r="B40">
        <v>85000</v>
      </c>
      <c r="C40">
        <v>13</v>
      </c>
      <c r="D40">
        <v>19</v>
      </c>
      <c r="E40">
        <v>10</v>
      </c>
    </row>
    <row r="41">
      <c r="A41" t="str">
        <v>Onboarding &amp; support 2</v>
      </c>
      <c r="B41">
        <v>45000</v>
      </c>
      <c r="C41">
        <v>13</v>
      </c>
      <c r="D41">
        <v>19</v>
      </c>
      <c r="E41">
        <v>10</v>
      </c>
    </row>
    <row r="42">
      <c r="A42" t="str">
        <v>Sales lead</v>
      </c>
      <c r="B42">
        <v>70000</v>
      </c>
      <c r="C42">
        <v>13</v>
      </c>
      <c r="D42">
        <v>19</v>
      </c>
      <c r="E42">
        <v>10</v>
      </c>
    </row>
    <row r="43">
      <c r="A43" t="str">
        <v>Engineer 3</v>
      </c>
      <c r="B43">
        <v>85000</v>
      </c>
      <c r="C43">
        <v>25</v>
      </c>
      <c r="D43">
        <v>31</v>
      </c>
      <c r="E43">
        <v>22</v>
      </c>
    </row>
    <row r="44">
      <c r="A44" t="str">
        <v>Onboarding &amp; support 3</v>
      </c>
      <c r="B44">
        <v>45000</v>
      </c>
      <c r="C44">
        <v>25</v>
      </c>
      <c r="D44">
        <v>31</v>
      </c>
      <c r="E44">
        <v>22</v>
      </c>
    </row>
    <row r="45">
      <c r="A45" t="str">
        <v>Sales 2</v>
      </c>
      <c r="B45">
        <v>55000</v>
      </c>
      <c r="C45">
        <v>25</v>
      </c>
      <c r="D45">
        <v>31</v>
      </c>
      <c r="E45">
        <v>22</v>
      </c>
    </row>
    <row r="46">
      <c r="A46" t="str">
        <v>Finance &amp; operations</v>
      </c>
      <c r="B46">
        <v>55000</v>
      </c>
      <c r="C46">
        <v>25</v>
      </c>
      <c r="D46">
        <v>31</v>
      </c>
      <c r="E46">
        <v>22</v>
      </c>
    </row>
    <row r="47">
      <c r="A47" t="str">
        <v>Employer on-costs (NI, pension, kit) as share of salary</v>
      </c>
      <c r="B47">
        <v>0.2</v>
      </c>
    </row>
    <row r="49">
      <c r="A49" t="str">
        <v>Sales &amp; marketing per month (£)</v>
      </c>
      <c r="B49" t="str">
        <v>Year 1</v>
      </c>
      <c r="C49" t="str">
        <v>Year 2</v>
      </c>
      <c r="D49" t="str">
        <v>Year 3</v>
      </c>
    </row>
    <row r="50">
      <c r="A50" t="str">
        <v>Sales &amp; marketing</v>
      </c>
      <c r="B50">
        <v>4000</v>
      </c>
      <c r="C50">
        <v>10000</v>
      </c>
      <c r="D50">
        <v>20000</v>
      </c>
    </row>
    <row r="51">
      <c r="A51" t="str">
        <v>Other overheads (legal, insurance, accounting, office)</v>
      </c>
      <c r="B51">
        <v>3000</v>
      </c>
      <c r="C51">
        <v>5000</v>
      </c>
      <c r="D51">
        <v>8000</v>
      </c>
    </row>
    <row r="52">
      <c r="A52" t="str">
        <v>Contractors (outsourced dev, security review, design)</v>
      </c>
      <c r="B52">
        <v>4000</v>
      </c>
      <c r="C52">
        <v>6000</v>
      </c>
      <c r="D52">
        <v>8000</v>
      </c>
    </row>
    <row r="53">
      <c r="A53" t="str">
        <v>Funding raised in month 1 (£) — PLACEHOLDER, George to confirm</v>
      </c>
      <c r="B53">
        <v>0</v>
      </c>
      <c r="C53" t="str">
        <v>Leave at 0 to see the peak funding need on each scenario sheet (minimum cumulative EBITDA)</v>
      </c>
    </row>
    <row r="55">
      <c r="A55" t="str">
        <v>Notes</v>
      </c>
    </row>
    <row r="56">
      <c r="A56" t="str">
        <v>Sites are modelled as fractions to keep the arithmetic simple; round in your head.</v>
      </c>
    </row>
    <row r="57">
      <c r="A57" t="str">
        <v>Setup revenue is recognised in the month the site is signed. Subscription is charged on active sites at month end.</v>
      </c>
    </row>
    <row r="58">
      <c r="A58" t="str">
        <v>No VAT, no interest, no tax, no depreciation. EBITDA only.</v>
      </c>
    </row>
  </sheetData>
  <ignoredErrors>
    <ignoredError numberStoredAsText="1" sqref="A1:E58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U47"/>
  <sheetViews>
    <sheetView workbookViewId="0"/>
  </sheetViews>
  <cols>
    <col min="1" max="1" width="8.83203125" customWidth="1"/>
    <col min="2" max="2" width="6.83203125" customWidth="1"/>
    <col min="3" max="3" width="16.83203125" customWidth="1"/>
    <col min="4" max="4" width="16.83203125" customWidth="1"/>
    <col min="5" max="5" width="16.83203125" customWidth="1"/>
    <col min="6" max="6" width="16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  <col min="16" max="16" width="16.83203125" customWidth="1"/>
    <col min="17" max="17" width="16.83203125" customWidth="1"/>
    <col min="18" max="18" width="16.83203125" customWidth="1"/>
    <col min="19" max="19" width="16.83203125" customWidth="1"/>
    <col min="20" max="20" width="16.83203125" customWidth="1"/>
    <col min="21" max="21" width="16.83203125" customWidth="1"/>
  </cols>
  <sheetData>
    <row r="1">
      <c r="A1" t="str">
        <v>OmegAi — Base case, monthly, 36 months. Illustrative, founder assumptions, September 2026. All inputs on the Assumptions sheet.</v>
      </c>
    </row>
    <row r="2">
      <c r="A2" t="str">
        <v>Month</v>
      </c>
      <c r="B2" t="str">
        <v>Year</v>
      </c>
      <c r="C2" t="str">
        <v>New sites</v>
      </c>
      <c r="D2" t="str">
        <v>Churned sites</v>
      </c>
      <c r="E2" t="str">
        <v>Active sites (end)</v>
      </c>
      <c r="F2" t="str">
        <v>Subscription revenue</v>
      </c>
      <c r="G2" t="str">
        <v>Setup revenue</v>
      </c>
      <c r="H2" t="str">
        <v>Total revenue</v>
      </c>
      <c r="I2" t="str">
        <v>ARR (exit rate)</v>
      </c>
      <c r="J2" t="str">
        <v>Model + hosting</v>
      </c>
      <c r="K2" t="str">
        <v>Onboarding cost</v>
      </c>
      <c r="L2" t="str">
        <v>Staff cost</v>
      </c>
      <c r="M2" t="str">
        <v>Sales &amp; marketing</v>
      </c>
      <c r="N2" t="str">
        <v>Overheads</v>
      </c>
      <c r="O2" t="str">
        <v>Total costs</v>
      </c>
      <c r="P2" t="str">
        <v>EBITDA</v>
      </c>
      <c r="Q2" t="str">
        <v>Cumulative EBITDA</v>
      </c>
      <c r="R2" t="str">
        <v>Cash incl. funding</v>
      </c>
      <c r="S2" t="str">
        <v>Headcount</v>
      </c>
      <c r="T2" t="str">
        <v>Sales commission</v>
      </c>
      <c r="U2" t="str">
        <v>Contractors</v>
      </c>
    </row>
    <row r="3">
      <c r="A3">
        <v>1</v>
      </c>
      <c r="B3">
        <f>INT((A3-1)/12)+1</f>
        <v>1</v>
      </c>
      <c r="C3">
        <f>IF(A3&lt;=Assumptions!$B$28,0,INDEX(Assumptions!$B$25:$B$27,B3))</f>
        <v>0</v>
      </c>
      <c r="D3">
        <f>0</f>
        <v>0</v>
      </c>
      <c r="E3">
        <f>C3-D3</f>
        <v>0</v>
      </c>
      <c r="F3">
        <f>E3*INDEX(Assumptions!$B$21:$D$21,B3)</f>
        <v>0</v>
      </c>
      <c r="G3">
        <f>C3*INDEX(Assumptions!$B$22:$D$22,B3)</f>
        <v>0</v>
      </c>
      <c r="H3">
        <f>F3+G3</f>
        <v>0</v>
      </c>
      <c r="I3">
        <f>F3*12</f>
        <v>0</v>
      </c>
      <c r="J3">
        <f>Assumptions!$B$33+E3*Assumptions!$B$32</f>
        <v>1500</v>
      </c>
      <c r="K3">
        <f>C3*Assumptions!$B$34</f>
        <v>0</v>
      </c>
      <c r="L3">
        <f>SUMPRODUCT((Assumptions!$C$37:$C$46&lt;=A3)*Assumptions!$B$37:$B$46)/12*(1+Assumptions!$B$47)</f>
        <v>23500</v>
      </c>
      <c r="M3">
        <f>INDEX(Assumptions!$B$50:$D$50,B3)</f>
        <v>4000</v>
      </c>
      <c r="N3">
        <f>INDEX(Assumptions!$B$51:$D$51,B3)</f>
        <v>3000</v>
      </c>
      <c r="O3">
        <f>J3+K3+L3+M3+N3+T3+U3</f>
        <v>36000</v>
      </c>
      <c r="P3">
        <f>H3-O3</f>
        <v>-36000</v>
      </c>
      <c r="Q3">
        <f>P3</f>
        <v>-36000</v>
      </c>
      <c r="R3">
        <f>Q3+Assumptions!$B$53</f>
        <v>-36000</v>
      </c>
      <c r="S3">
        <f>SUMPRODUCT(--(Assumptions!$C$37:$C$46&lt;=A3))</f>
        <v>3</v>
      </c>
      <c r="T3">
        <f>C3*(INDEX(Assumptions!$B$22:$D$22,B3)+12*INDEX(Assumptions!$B$21:$D$21,B3))*Assumptions!$B$35</f>
        <v>0</v>
      </c>
      <c r="U3">
        <f>INDEX(Assumptions!$B$52:$D$52,B3)</f>
        <v>4000</v>
      </c>
    </row>
    <row r="4">
      <c r="A4">
        <v>2</v>
      </c>
      <c r="B4">
        <f>INT((A4-1)/12)+1</f>
        <v>1</v>
      </c>
      <c r="C4">
        <f>IF(A4&lt;=Assumptions!$B$28,0,INDEX(Assumptions!$B$25:$B$27,B4))</f>
        <v>0</v>
      </c>
      <c r="D4">
        <f>E3*Assumptions!$B$29</f>
        <v>0</v>
      </c>
      <c r="E4">
        <f>E3+C4-D4</f>
        <v>0</v>
      </c>
      <c r="F4">
        <f>E4*INDEX(Assumptions!$B$21:$D$21,B4)</f>
        <v>0</v>
      </c>
      <c r="G4">
        <f>C4*INDEX(Assumptions!$B$22:$D$22,B4)</f>
        <v>0</v>
      </c>
      <c r="H4">
        <f>F4+G4</f>
        <v>0</v>
      </c>
      <c r="I4">
        <f>F4*12</f>
        <v>0</v>
      </c>
      <c r="J4">
        <f>Assumptions!$B$33+E4*Assumptions!$B$32</f>
        <v>1500</v>
      </c>
      <c r="K4">
        <f>C4*Assumptions!$B$34</f>
        <v>0</v>
      </c>
      <c r="L4">
        <f>SUMPRODUCT((Assumptions!$C$37:$C$46&lt;=A4)*Assumptions!$B$37:$B$46)/12*(1+Assumptions!$B$47)</f>
        <v>23500</v>
      </c>
      <c r="M4">
        <f>INDEX(Assumptions!$B$50:$D$50,B4)</f>
        <v>4000</v>
      </c>
      <c r="N4">
        <f>INDEX(Assumptions!$B$51:$D$51,B4)</f>
        <v>3000</v>
      </c>
      <c r="O4">
        <f>J4+K4+L4+M4+N4+T4+U4</f>
        <v>36000</v>
      </c>
      <c r="P4">
        <f>H4-O4</f>
        <v>-36000</v>
      </c>
      <c r="Q4">
        <f>Q3+P4</f>
        <v>-72000</v>
      </c>
      <c r="R4">
        <f>Q4+Assumptions!$B$53</f>
        <v>-72000</v>
      </c>
      <c r="S4">
        <f>SUMPRODUCT(--(Assumptions!$C$37:$C$46&lt;=A4))</f>
        <v>3</v>
      </c>
      <c r="T4">
        <f>C4*(INDEX(Assumptions!$B$22:$D$22,B4)+12*INDEX(Assumptions!$B$21:$D$21,B4))*Assumptions!$B$35</f>
        <v>0</v>
      </c>
      <c r="U4">
        <f>INDEX(Assumptions!$B$52:$D$52,B4)</f>
        <v>4000</v>
      </c>
    </row>
    <row r="5">
      <c r="A5">
        <v>3</v>
      </c>
      <c r="B5">
        <f>INT((A5-1)/12)+1</f>
        <v>1</v>
      </c>
      <c r="C5">
        <f>IF(A5&lt;=Assumptions!$B$28,0,INDEX(Assumptions!$B$25:$B$27,B5))</f>
        <v>3.2</v>
      </c>
      <c r="D5">
        <f>E4*Assumptions!$B$29</f>
        <v>0</v>
      </c>
      <c r="E5">
        <f>E4+C5-D5</f>
        <v>3.2</v>
      </c>
      <c r="F5">
        <f>E5*INDEX(Assumptions!$B$21:$D$21,B5)</f>
        <v>3974.4</v>
      </c>
      <c r="G5">
        <f>C5*INDEX(Assumptions!$B$22:$D$22,B5)</f>
        <v>14800</v>
      </c>
      <c r="H5">
        <f>F5+G5</f>
        <v>18774.4</v>
      </c>
      <c r="I5">
        <f>F5*12</f>
        <v>47692.8</v>
      </c>
      <c r="J5">
        <f>Assumptions!$B$33+E5*Assumptions!$B$32</f>
        <v>2140</v>
      </c>
      <c r="K5">
        <f>C5*Assumptions!$B$34</f>
        <v>11200</v>
      </c>
      <c r="L5">
        <f>SUMPRODUCT((Assumptions!$C$37:$C$46&lt;=A5)*Assumptions!$B$37:$B$46)/12*(1+Assumptions!$B$47)</f>
        <v>23500</v>
      </c>
      <c r="M5">
        <f>INDEX(Assumptions!$B$50:$D$50,B5)</f>
        <v>4000</v>
      </c>
      <c r="N5">
        <f>INDEX(Assumptions!$B$51:$D$51,B5)</f>
        <v>3000</v>
      </c>
      <c r="O5">
        <f>J5+K5+L5+M5+N5+T5+U5</f>
        <v>54089.28</v>
      </c>
      <c r="P5">
        <f>H5-O5</f>
        <v>-35314.88</v>
      </c>
      <c r="Q5">
        <f>Q4+P5</f>
        <v>-107314.88</v>
      </c>
      <c r="R5">
        <f>Q5+Assumptions!$B$53</f>
        <v>-107314.88</v>
      </c>
      <c r="S5">
        <f>SUMPRODUCT(--(Assumptions!$C$37:$C$46&lt;=A5))</f>
        <v>3</v>
      </c>
      <c r="T5">
        <f>C5*(INDEX(Assumptions!$B$22:$D$22,B5)+12*INDEX(Assumptions!$B$21:$D$21,B5))*Assumptions!$B$35</f>
        <v>6249.28</v>
      </c>
      <c r="U5">
        <f>INDEX(Assumptions!$B$52:$D$52,B5)</f>
        <v>4000</v>
      </c>
    </row>
    <row r="6">
      <c r="A6">
        <v>4</v>
      </c>
      <c r="B6">
        <f>INT((A6-1)/12)+1</f>
        <v>1</v>
      </c>
      <c r="C6">
        <f>IF(A6&lt;=Assumptions!$B$28,0,INDEX(Assumptions!$B$25:$B$27,B6))</f>
        <v>3.2</v>
      </c>
      <c r="D6">
        <f>E5*Assumptions!$B$29</f>
        <v>0.05</v>
      </c>
      <c r="E6">
        <f>E5+C6-D6</f>
        <v>6.35</v>
      </c>
      <c r="F6">
        <f>E6*INDEX(Assumptions!$B$21:$D$21,B6)</f>
        <v>7889.18</v>
      </c>
      <c r="G6">
        <f>C6*INDEX(Assumptions!$B$22:$D$22,B6)</f>
        <v>14800</v>
      </c>
      <c r="H6">
        <f>F6+G6</f>
        <v>22689.18</v>
      </c>
      <c r="I6">
        <f>F6*12</f>
        <v>94670.21</v>
      </c>
      <c r="J6">
        <f>Assumptions!$B$33+E6*Assumptions!$B$32</f>
        <v>2770.4</v>
      </c>
      <c r="K6">
        <f>C6*Assumptions!$B$34</f>
        <v>11200</v>
      </c>
      <c r="L6">
        <f>SUMPRODUCT((Assumptions!$C$37:$C$46&lt;=A6)*Assumptions!$B$37:$B$46)/12*(1+Assumptions!$B$47)</f>
        <v>23500</v>
      </c>
      <c r="M6">
        <f>INDEX(Assumptions!$B$50:$D$50,B6)</f>
        <v>4000</v>
      </c>
      <c r="N6">
        <f>INDEX(Assumptions!$B$51:$D$51,B6)</f>
        <v>3000</v>
      </c>
      <c r="O6">
        <f>J6+K6+L6+M6+N6+T6+U6</f>
        <v>54719.68</v>
      </c>
      <c r="P6">
        <f>H6-O6</f>
        <v>-32030.5</v>
      </c>
      <c r="Q6">
        <f>Q5+P6</f>
        <v>-139345.38</v>
      </c>
      <c r="R6">
        <f>Q6+Assumptions!$B$53</f>
        <v>-139345.38</v>
      </c>
      <c r="S6">
        <f>SUMPRODUCT(--(Assumptions!$C$37:$C$46&lt;=A6))</f>
        <v>3</v>
      </c>
      <c r="T6">
        <f>C6*(INDEX(Assumptions!$B$22:$D$22,B6)+12*INDEX(Assumptions!$B$21:$D$21,B6))*Assumptions!$B$35</f>
        <v>6249.28</v>
      </c>
      <c r="U6">
        <f>INDEX(Assumptions!$B$52:$D$52,B6)</f>
        <v>4000</v>
      </c>
    </row>
    <row r="7">
      <c r="A7">
        <v>5</v>
      </c>
      <c r="B7">
        <f>INT((A7-1)/12)+1</f>
        <v>1</v>
      </c>
      <c r="C7">
        <f>IF(A7&lt;=Assumptions!$B$28,0,INDEX(Assumptions!$B$25:$B$27,B7))</f>
        <v>3.2</v>
      </c>
      <c r="D7">
        <f>E6*Assumptions!$B$29</f>
        <v>0.1</v>
      </c>
      <c r="E7">
        <f>E6+C7-D7</f>
        <v>9.46</v>
      </c>
      <c r="F7">
        <f>E7*INDEX(Assumptions!$B$21:$D$21,B7)</f>
        <v>11745.25</v>
      </c>
      <c r="G7">
        <f>C7*INDEX(Assumptions!$B$22:$D$22,B7)</f>
        <v>14800</v>
      </c>
      <c r="H7">
        <f>F7+G7</f>
        <v>26545.25</v>
      </c>
      <c r="I7">
        <f>F7*12</f>
        <v>140942.95</v>
      </c>
      <c r="J7">
        <f>Assumptions!$B$33+E7*Assumptions!$B$32</f>
        <v>3391.34</v>
      </c>
      <c r="K7">
        <f>C7*Assumptions!$B$34</f>
        <v>11200</v>
      </c>
      <c r="L7">
        <f>SUMPRODUCT((Assumptions!$C$37:$C$46&lt;=A7)*Assumptions!$B$37:$B$46)/12*(1+Assumptions!$B$47)</f>
        <v>23500</v>
      </c>
      <c r="M7">
        <f>INDEX(Assumptions!$B$50:$D$50,B7)</f>
        <v>4000</v>
      </c>
      <c r="N7">
        <f>INDEX(Assumptions!$B$51:$D$51,B7)</f>
        <v>3000</v>
      </c>
      <c r="O7">
        <f>J7+K7+L7+M7+N7+T7+U7</f>
        <v>55340.62</v>
      </c>
      <c r="P7">
        <f>H7-O7</f>
        <v>-28795.38</v>
      </c>
      <c r="Q7">
        <f>Q6+P7</f>
        <v>-168140.75</v>
      </c>
      <c r="R7">
        <f>Q7+Assumptions!$B$53</f>
        <v>-168140.75</v>
      </c>
      <c r="S7">
        <f>SUMPRODUCT(--(Assumptions!$C$37:$C$46&lt;=A7))</f>
        <v>3</v>
      </c>
      <c r="T7">
        <f>C7*(INDEX(Assumptions!$B$22:$D$22,B7)+12*INDEX(Assumptions!$B$21:$D$21,B7))*Assumptions!$B$35</f>
        <v>6249.28</v>
      </c>
      <c r="U7">
        <f>INDEX(Assumptions!$B$52:$D$52,B7)</f>
        <v>4000</v>
      </c>
    </row>
    <row r="8">
      <c r="A8">
        <v>6</v>
      </c>
      <c r="B8">
        <f>INT((A8-1)/12)+1</f>
        <v>1</v>
      </c>
      <c r="C8">
        <f>IF(A8&lt;=Assumptions!$B$28,0,INDEX(Assumptions!$B$25:$B$27,B8))</f>
        <v>3.2</v>
      </c>
      <c r="D8">
        <f>E7*Assumptions!$B$29</f>
        <v>0.14</v>
      </c>
      <c r="E8">
        <f>E7+C8-D8</f>
        <v>12.51</v>
      </c>
      <c r="F8">
        <f>E8*INDEX(Assumptions!$B$21:$D$21,B8)</f>
        <v>15543.47</v>
      </c>
      <c r="G8">
        <f>C8*INDEX(Assumptions!$B$22:$D$22,B8)</f>
        <v>14800</v>
      </c>
      <c r="H8">
        <f>F8+G8</f>
        <v>30343.47</v>
      </c>
      <c r="I8">
        <f>F8*12</f>
        <v>186521.61</v>
      </c>
      <c r="J8">
        <f>Assumptions!$B$33+E8*Assumptions!$B$32</f>
        <v>4002.97</v>
      </c>
      <c r="K8">
        <f>C8*Assumptions!$B$34</f>
        <v>11200</v>
      </c>
      <c r="L8">
        <f>SUMPRODUCT((Assumptions!$C$37:$C$46&lt;=A8)*Assumptions!$B$37:$B$46)/12*(1+Assumptions!$B$47)</f>
        <v>23500</v>
      </c>
      <c r="M8">
        <f>INDEX(Assumptions!$B$50:$D$50,B8)</f>
        <v>4000</v>
      </c>
      <c r="N8">
        <f>INDEX(Assumptions!$B$51:$D$51,B8)</f>
        <v>3000</v>
      </c>
      <c r="O8">
        <f>J8+K8+L8+M8+N8+T8+U8</f>
        <v>55952.25</v>
      </c>
      <c r="P8">
        <f>H8-O8</f>
        <v>-25608.79</v>
      </c>
      <c r="Q8">
        <f>Q7+P8</f>
        <v>-193749.54</v>
      </c>
      <c r="R8">
        <f>Q8+Assumptions!$B$53</f>
        <v>-193749.54</v>
      </c>
      <c r="S8">
        <f>SUMPRODUCT(--(Assumptions!$C$37:$C$46&lt;=A8))</f>
        <v>3</v>
      </c>
      <c r="T8">
        <f>C8*(INDEX(Assumptions!$B$22:$D$22,B8)+12*INDEX(Assumptions!$B$21:$D$21,B8))*Assumptions!$B$35</f>
        <v>6249.28</v>
      </c>
      <c r="U8">
        <f>INDEX(Assumptions!$B$52:$D$52,B8)</f>
        <v>4000</v>
      </c>
    </row>
    <row r="9">
      <c r="A9">
        <v>7</v>
      </c>
      <c r="B9">
        <f>INT((A9-1)/12)+1</f>
        <v>1</v>
      </c>
      <c r="C9">
        <f>IF(A9&lt;=Assumptions!$B$28,0,INDEX(Assumptions!$B$25:$B$27,B9))</f>
        <v>3.2</v>
      </c>
      <c r="D9">
        <f>E8*Assumptions!$B$29</f>
        <v>0.19</v>
      </c>
      <c r="E9">
        <f>E8+C9-D9</f>
        <v>15.53</v>
      </c>
      <c r="F9">
        <f>E9*INDEX(Assumptions!$B$21:$D$21,B9)</f>
        <v>19284.72</v>
      </c>
      <c r="G9">
        <f>C9*INDEX(Assumptions!$B$22:$D$22,B9)</f>
        <v>14800</v>
      </c>
      <c r="H9">
        <f>F9+G9</f>
        <v>34084.72</v>
      </c>
      <c r="I9">
        <f>F9*12</f>
        <v>231416.59</v>
      </c>
      <c r="J9">
        <f>Assumptions!$B$33+E9*Assumptions!$B$32</f>
        <v>4605.43</v>
      </c>
      <c r="K9">
        <f>C9*Assumptions!$B$34</f>
        <v>11200</v>
      </c>
      <c r="L9">
        <f>SUMPRODUCT((Assumptions!$C$37:$C$46&lt;=A9)*Assumptions!$B$37:$B$46)/12*(1+Assumptions!$B$47)</f>
        <v>23500</v>
      </c>
      <c r="M9">
        <f>INDEX(Assumptions!$B$50:$D$50,B9)</f>
        <v>4000</v>
      </c>
      <c r="N9">
        <f>INDEX(Assumptions!$B$51:$D$51,B9)</f>
        <v>3000</v>
      </c>
      <c r="O9">
        <f>J9+K9+L9+M9+N9+T9+U9</f>
        <v>56554.71</v>
      </c>
      <c r="P9">
        <f>H9-O9</f>
        <v>-22469.99</v>
      </c>
      <c r="Q9">
        <f>Q8+P9</f>
        <v>-216219.53</v>
      </c>
      <c r="R9">
        <f>Q9+Assumptions!$B$53</f>
        <v>-216219.53</v>
      </c>
      <c r="S9">
        <f>SUMPRODUCT(--(Assumptions!$C$37:$C$46&lt;=A9))</f>
        <v>3</v>
      </c>
      <c r="T9">
        <f>C9*(INDEX(Assumptions!$B$22:$D$22,B9)+12*INDEX(Assumptions!$B$21:$D$21,B9))*Assumptions!$B$35</f>
        <v>6249.28</v>
      </c>
      <c r="U9">
        <f>INDEX(Assumptions!$B$52:$D$52,B9)</f>
        <v>4000</v>
      </c>
    </row>
    <row r="10">
      <c r="A10">
        <v>8</v>
      </c>
      <c r="B10">
        <f>INT((A10-1)/12)+1</f>
        <v>1</v>
      </c>
      <c r="C10">
        <f>IF(A10&lt;=Assumptions!$B$28,0,INDEX(Assumptions!$B$25:$B$27,B10))</f>
        <v>3.2</v>
      </c>
      <c r="D10">
        <f>E9*Assumptions!$B$29</f>
        <v>0.23</v>
      </c>
      <c r="E10">
        <f>E9+C10-D10</f>
        <v>18.49</v>
      </c>
      <c r="F10">
        <f>E10*INDEX(Assumptions!$B$21:$D$21,B10)</f>
        <v>22969.84</v>
      </c>
      <c r="G10">
        <f>C10*INDEX(Assumptions!$B$22:$D$22,B10)</f>
        <v>14800</v>
      </c>
      <c r="H10">
        <f>F10+G10</f>
        <v>37769.84</v>
      </c>
      <c r="I10">
        <f>F10*12</f>
        <v>275638.14</v>
      </c>
      <c r="J10">
        <f>Assumptions!$B$33+E10*Assumptions!$B$32</f>
        <v>5198.85</v>
      </c>
      <c r="K10">
        <f>C10*Assumptions!$B$34</f>
        <v>11200</v>
      </c>
      <c r="L10">
        <f>SUMPRODUCT((Assumptions!$C$37:$C$46&lt;=A10)*Assumptions!$B$37:$B$46)/12*(1+Assumptions!$B$47)</f>
        <v>23500</v>
      </c>
      <c r="M10">
        <f>INDEX(Assumptions!$B$50:$D$50,B10)</f>
        <v>4000</v>
      </c>
      <c r="N10">
        <f>INDEX(Assumptions!$B$51:$D$51,B10)</f>
        <v>3000</v>
      </c>
      <c r="O10">
        <f>J10+K10+L10+M10+N10+T10+U10</f>
        <v>57148.13</v>
      </c>
      <c r="P10">
        <f>H10-O10</f>
        <v>-19378.28</v>
      </c>
      <c r="Q10">
        <f>Q9+P10</f>
        <v>-235597.82</v>
      </c>
      <c r="R10">
        <f>Q10+Assumptions!$B$53</f>
        <v>-235597.82</v>
      </c>
      <c r="S10">
        <f>SUMPRODUCT(--(Assumptions!$C$37:$C$46&lt;=A10))</f>
        <v>3</v>
      </c>
      <c r="T10">
        <f>C10*(INDEX(Assumptions!$B$22:$D$22,B10)+12*INDEX(Assumptions!$B$21:$D$21,B10))*Assumptions!$B$35</f>
        <v>6249.28</v>
      </c>
      <c r="U10">
        <f>INDEX(Assumptions!$B$52:$D$52,B10)</f>
        <v>4000</v>
      </c>
    </row>
    <row r="11">
      <c r="A11">
        <v>9</v>
      </c>
      <c r="B11">
        <f>INT((A11-1)/12)+1</f>
        <v>1</v>
      </c>
      <c r="C11">
        <f>IF(A11&lt;=Assumptions!$B$28,0,INDEX(Assumptions!$B$25:$B$27,B11))</f>
        <v>3.2</v>
      </c>
      <c r="D11">
        <f>E10*Assumptions!$B$29</f>
        <v>0.28</v>
      </c>
      <c r="E11">
        <f>E10+C11-D11</f>
        <v>21.42</v>
      </c>
      <c r="F11">
        <f>E11*INDEX(Assumptions!$B$21:$D$21,B11)</f>
        <v>26599.7</v>
      </c>
      <c r="G11">
        <f>C11*INDEX(Assumptions!$B$22:$D$22,B11)</f>
        <v>14800</v>
      </c>
      <c r="H11">
        <f>F11+G11</f>
        <v>41399.7</v>
      </c>
      <c r="I11">
        <f>F11*12</f>
        <v>319196.37</v>
      </c>
      <c r="J11">
        <f>Assumptions!$B$33+E11*Assumptions!$B$32</f>
        <v>5783.37</v>
      </c>
      <c r="K11">
        <f>C11*Assumptions!$B$34</f>
        <v>11200</v>
      </c>
      <c r="L11">
        <f>SUMPRODUCT((Assumptions!$C$37:$C$46&lt;=A11)*Assumptions!$B$37:$B$46)/12*(1+Assumptions!$B$47)</f>
        <v>23500</v>
      </c>
      <c r="M11">
        <f>INDEX(Assumptions!$B$50:$D$50,B11)</f>
        <v>4000</v>
      </c>
      <c r="N11">
        <f>INDEX(Assumptions!$B$51:$D$51,B11)</f>
        <v>3000</v>
      </c>
      <c r="O11">
        <f>J11+K11+L11+M11+N11+T11+U11</f>
        <v>57732.65</v>
      </c>
      <c r="P11">
        <f>H11-O11</f>
        <v>-16332.95</v>
      </c>
      <c r="Q11">
        <f>Q10+P11</f>
        <v>-251930.76</v>
      </c>
      <c r="R11">
        <f>Q11+Assumptions!$B$53</f>
        <v>-251930.76</v>
      </c>
      <c r="S11">
        <f>SUMPRODUCT(--(Assumptions!$C$37:$C$46&lt;=A11))</f>
        <v>3</v>
      </c>
      <c r="T11">
        <f>C11*(INDEX(Assumptions!$B$22:$D$22,B11)+12*INDEX(Assumptions!$B$21:$D$21,B11))*Assumptions!$B$35</f>
        <v>6249.28</v>
      </c>
      <c r="U11">
        <f>INDEX(Assumptions!$B$52:$D$52,B11)</f>
        <v>4000</v>
      </c>
    </row>
    <row r="12">
      <c r="A12">
        <v>10</v>
      </c>
      <c r="B12">
        <f>INT((A12-1)/12)+1</f>
        <v>1</v>
      </c>
      <c r="C12">
        <f>IF(A12&lt;=Assumptions!$B$28,0,INDEX(Assumptions!$B$25:$B$27,B12))</f>
        <v>3.2</v>
      </c>
      <c r="D12">
        <f>E11*Assumptions!$B$29</f>
        <v>0.32</v>
      </c>
      <c r="E12">
        <f>E11+C12-D12</f>
        <v>24.3</v>
      </c>
      <c r="F12">
        <f>E12*INDEX(Assumptions!$B$21:$D$21,B12)</f>
        <v>30175.1</v>
      </c>
      <c r="G12">
        <f>C12*INDEX(Assumptions!$B$22:$D$22,B12)</f>
        <v>14800</v>
      </c>
      <c r="H12">
        <f>F12+G12</f>
        <v>44975.1</v>
      </c>
      <c r="I12">
        <f>F12*12</f>
        <v>362101.22</v>
      </c>
      <c r="J12">
        <f>Assumptions!$B$33+E12*Assumptions!$B$32</f>
        <v>6359.11</v>
      </c>
      <c r="K12">
        <f>C12*Assumptions!$B$34</f>
        <v>11200</v>
      </c>
      <c r="L12">
        <f>SUMPRODUCT((Assumptions!$C$37:$C$46&lt;=A12)*Assumptions!$B$37:$B$46)/12*(1+Assumptions!$B$47)</f>
        <v>23500</v>
      </c>
      <c r="M12">
        <f>INDEX(Assumptions!$B$50:$D$50,B12)</f>
        <v>4000</v>
      </c>
      <c r="N12">
        <f>INDEX(Assumptions!$B$51:$D$51,B12)</f>
        <v>3000</v>
      </c>
      <c r="O12">
        <f>J12+K12+L12+M12+N12+T12+U12</f>
        <v>58308.39</v>
      </c>
      <c r="P12">
        <f>H12-O12</f>
        <v>-13333.29</v>
      </c>
      <c r="Q12">
        <f>Q11+P12</f>
        <v>-265264.06</v>
      </c>
      <c r="R12">
        <f>Q12+Assumptions!$B$53</f>
        <v>-265264.06</v>
      </c>
      <c r="S12">
        <f>SUMPRODUCT(--(Assumptions!$C$37:$C$46&lt;=A12))</f>
        <v>3</v>
      </c>
      <c r="T12">
        <f>C12*(INDEX(Assumptions!$B$22:$D$22,B12)+12*INDEX(Assumptions!$B$21:$D$21,B12))*Assumptions!$B$35</f>
        <v>6249.28</v>
      </c>
      <c r="U12">
        <f>INDEX(Assumptions!$B$52:$D$52,B12)</f>
        <v>4000</v>
      </c>
    </row>
    <row r="13">
      <c r="A13">
        <v>11</v>
      </c>
      <c r="B13">
        <f>INT((A13-1)/12)+1</f>
        <v>1</v>
      </c>
      <c r="C13">
        <f>IF(A13&lt;=Assumptions!$B$28,0,INDEX(Assumptions!$B$25:$B$27,B13))</f>
        <v>3.2</v>
      </c>
      <c r="D13">
        <f>E12*Assumptions!$B$29</f>
        <v>0.36</v>
      </c>
      <c r="E13">
        <f>E12+C13-D13</f>
        <v>27.13</v>
      </c>
      <c r="F13">
        <f>E13*INDEX(Assumptions!$B$21:$D$21,B13)</f>
        <v>33696.88</v>
      </c>
      <c r="G13">
        <f>C13*INDEX(Assumptions!$B$22:$D$22,B13)</f>
        <v>14800</v>
      </c>
      <c r="H13">
        <f>F13+G13</f>
        <v>48496.88</v>
      </c>
      <c r="I13">
        <f>F13*12</f>
        <v>404362.5</v>
      </c>
      <c r="J13">
        <f>Assumptions!$B$33+E13*Assumptions!$B$32</f>
        <v>6926.23</v>
      </c>
      <c r="K13">
        <f>C13*Assumptions!$B$34</f>
        <v>11200</v>
      </c>
      <c r="L13">
        <f>SUMPRODUCT((Assumptions!$C$37:$C$46&lt;=A13)*Assumptions!$B$37:$B$46)/12*(1+Assumptions!$B$47)</f>
        <v>23500</v>
      </c>
      <c r="M13">
        <f>INDEX(Assumptions!$B$50:$D$50,B13)</f>
        <v>4000</v>
      </c>
      <c r="N13">
        <f>INDEX(Assumptions!$B$51:$D$51,B13)</f>
        <v>3000</v>
      </c>
      <c r="O13">
        <f>J13+K13+L13+M13+N13+T13+U13</f>
        <v>58875.51</v>
      </c>
      <c r="P13">
        <f>H13-O13</f>
        <v>-10378.63</v>
      </c>
      <c r="Q13">
        <f>Q12+P13</f>
        <v>-275642.69</v>
      </c>
      <c r="R13">
        <f>Q13+Assumptions!$B$53</f>
        <v>-275642.69</v>
      </c>
      <c r="S13">
        <f>SUMPRODUCT(--(Assumptions!$C$37:$C$46&lt;=A13))</f>
        <v>3</v>
      </c>
      <c r="T13">
        <f>C13*(INDEX(Assumptions!$B$22:$D$22,B13)+12*INDEX(Assumptions!$B$21:$D$21,B13))*Assumptions!$B$35</f>
        <v>6249.28</v>
      </c>
      <c r="U13">
        <f>INDEX(Assumptions!$B$52:$D$52,B13)</f>
        <v>4000</v>
      </c>
    </row>
    <row r="14">
      <c r="A14">
        <v>12</v>
      </c>
      <c r="B14">
        <f>INT((A14-1)/12)+1</f>
        <v>1</v>
      </c>
      <c r="C14">
        <f>IF(A14&lt;=Assumptions!$B$28,0,INDEX(Assumptions!$B$25:$B$27,B14))</f>
        <v>3.2</v>
      </c>
      <c r="D14">
        <f>E13*Assumptions!$B$29</f>
        <v>0.41</v>
      </c>
      <c r="E14">
        <f>E13+C14-D14</f>
        <v>29.92</v>
      </c>
      <c r="F14">
        <f>E14*INDEX(Assumptions!$B$21:$D$21,B14)</f>
        <v>37165.82</v>
      </c>
      <c r="G14">
        <f>C14*INDEX(Assumptions!$B$22:$D$22,B14)</f>
        <v>14800</v>
      </c>
      <c r="H14">
        <f>F14+G14</f>
        <v>51965.82</v>
      </c>
      <c r="I14">
        <f>F14*12</f>
        <v>445989.86</v>
      </c>
      <c r="J14">
        <f>Assumptions!$B$33+E14*Assumptions!$B$32</f>
        <v>7484.83</v>
      </c>
      <c r="K14">
        <f>C14*Assumptions!$B$34</f>
        <v>11200</v>
      </c>
      <c r="L14">
        <f>SUMPRODUCT((Assumptions!$C$37:$C$46&lt;=A14)*Assumptions!$B$37:$B$46)/12*(1+Assumptions!$B$47)</f>
        <v>23500</v>
      </c>
      <c r="M14">
        <f>INDEX(Assumptions!$B$50:$D$50,B14)</f>
        <v>4000</v>
      </c>
      <c r="N14">
        <f>INDEX(Assumptions!$B$51:$D$51,B14)</f>
        <v>3000</v>
      </c>
      <c r="O14">
        <f>J14+K14+L14+M14+N14+T14+U14</f>
        <v>59434.11</v>
      </c>
      <c r="P14">
        <f>H14-O14</f>
        <v>-7468.29</v>
      </c>
      <c r="Q14">
        <f>Q13+P14</f>
        <v>-283110.98</v>
      </c>
      <c r="R14">
        <f>Q14+Assumptions!$B$53</f>
        <v>-283110.98</v>
      </c>
      <c r="S14">
        <f>SUMPRODUCT(--(Assumptions!$C$37:$C$46&lt;=A14))</f>
        <v>3</v>
      </c>
      <c r="T14">
        <f>C14*(INDEX(Assumptions!$B$22:$D$22,B14)+12*INDEX(Assumptions!$B$21:$D$21,B14))*Assumptions!$B$35</f>
        <v>6249.28</v>
      </c>
      <c r="U14">
        <f>INDEX(Assumptions!$B$52:$D$52,B14)</f>
        <v>4000</v>
      </c>
    </row>
    <row r="15">
      <c r="A15">
        <v>13</v>
      </c>
      <c r="B15">
        <f>INT((A15-1)/12)+1</f>
        <v>2</v>
      </c>
      <c r="C15">
        <f>IF(A15&lt;=Assumptions!$B$28,0,INDEX(Assumptions!$B$25:$B$27,B15))</f>
        <v>9</v>
      </c>
      <c r="D15">
        <f>E14*Assumptions!$B$29</f>
        <v>0.45</v>
      </c>
      <c r="E15">
        <f>E14+C15-D15</f>
        <v>38.48</v>
      </c>
      <c r="F15">
        <f>E15*INDEX(Assumptions!$B$21:$D$21,B15)</f>
        <v>58482.47</v>
      </c>
      <c r="G15">
        <f>C15*INDEX(Assumptions!$B$22:$D$22,B15)</f>
        <v>37837.5</v>
      </c>
      <c r="H15">
        <f>F15+G15</f>
        <v>96319.97</v>
      </c>
      <c r="I15">
        <f>F15*12</f>
        <v>701789.65</v>
      </c>
      <c r="J15">
        <f>Assumptions!$B$33+E15*Assumptions!$B$32</f>
        <v>9195.06</v>
      </c>
      <c r="K15">
        <f>C15*Assumptions!$B$34</f>
        <v>31500</v>
      </c>
      <c r="L15">
        <f>SUMPRODUCT((Assumptions!$C$37:$C$46&lt;=A15)*Assumptions!$B$37:$B$46)/12*(1+Assumptions!$B$47)</f>
        <v>43500</v>
      </c>
      <c r="M15">
        <f>INDEX(Assumptions!$B$50:$D$50,B15)</f>
        <v>10000</v>
      </c>
      <c r="N15">
        <f>INDEX(Assumptions!$B$51:$D$51,B15)</f>
        <v>5000</v>
      </c>
      <c r="O15">
        <f>J15+K15+L15+M15+N15+T15+U15</f>
        <v>125394.81</v>
      </c>
      <c r="P15">
        <f>H15-O15</f>
        <v>-29074.84</v>
      </c>
      <c r="Q15">
        <f>Q14+P15</f>
        <v>-312185.82</v>
      </c>
      <c r="R15">
        <f>Q15+Assumptions!$B$53</f>
        <v>-312185.82</v>
      </c>
      <c r="S15">
        <f>SUMPRODUCT(--(Assumptions!$C$37:$C$46&lt;=A15))</f>
        <v>6</v>
      </c>
      <c r="T15">
        <f>C15*(INDEX(Assumptions!$B$22:$D$22,B15)+12*INDEX(Assumptions!$B$21:$D$21,B15))*Assumptions!$B$35</f>
        <v>20199.75</v>
      </c>
      <c r="U15">
        <f>INDEX(Assumptions!$B$52:$D$52,B15)</f>
        <v>6000</v>
      </c>
    </row>
    <row r="16">
      <c r="A16">
        <v>14</v>
      </c>
      <c r="B16">
        <f>INT((A16-1)/12)+1</f>
        <v>2</v>
      </c>
      <c r="C16">
        <f>IF(A16&lt;=Assumptions!$B$28,0,INDEX(Assumptions!$B$25:$B$27,B16))</f>
        <v>9</v>
      </c>
      <c r="D16">
        <f>E15*Assumptions!$B$29</f>
        <v>0.58</v>
      </c>
      <c r="E16">
        <f>E15+C16-D16</f>
        <v>46.9</v>
      </c>
      <c r="F16">
        <f>E16*INDEX(Assumptions!$B$21:$D$21,B16)</f>
        <v>71285.23</v>
      </c>
      <c r="G16">
        <f>C16*INDEX(Assumptions!$B$22:$D$22,B16)</f>
        <v>37837.5</v>
      </c>
      <c r="H16">
        <f>F16+G16</f>
        <v>109122.73</v>
      </c>
      <c r="I16">
        <f>F16*12</f>
        <v>855422.8</v>
      </c>
      <c r="J16">
        <f>Assumptions!$B$33+E16*Assumptions!$B$32</f>
        <v>10879.64</v>
      </c>
      <c r="K16">
        <f>C16*Assumptions!$B$34</f>
        <v>31500</v>
      </c>
      <c r="L16">
        <f>SUMPRODUCT((Assumptions!$C$37:$C$46&lt;=A16)*Assumptions!$B$37:$B$46)/12*(1+Assumptions!$B$47)</f>
        <v>43500</v>
      </c>
      <c r="M16">
        <f>INDEX(Assumptions!$B$50:$D$50,B16)</f>
        <v>10000</v>
      </c>
      <c r="N16">
        <f>INDEX(Assumptions!$B$51:$D$51,B16)</f>
        <v>5000</v>
      </c>
      <c r="O16">
        <f>J16+K16+L16+M16+N16+T16+U16</f>
        <v>127079.39</v>
      </c>
      <c r="P16">
        <f>H16-O16</f>
        <v>-17956.65</v>
      </c>
      <c r="Q16">
        <f>Q15+P16</f>
        <v>-330142.48</v>
      </c>
      <c r="R16">
        <f>Q16+Assumptions!$B$53</f>
        <v>-330142.48</v>
      </c>
      <c r="S16">
        <f>SUMPRODUCT(--(Assumptions!$C$37:$C$46&lt;=A16))</f>
        <v>6</v>
      </c>
      <c r="T16">
        <f>C16*(INDEX(Assumptions!$B$22:$D$22,B16)+12*INDEX(Assumptions!$B$21:$D$21,B16))*Assumptions!$B$35</f>
        <v>20199.75</v>
      </c>
      <c r="U16">
        <f>INDEX(Assumptions!$B$52:$D$52,B16)</f>
        <v>6000</v>
      </c>
    </row>
    <row r="17">
      <c r="A17">
        <v>15</v>
      </c>
      <c r="B17">
        <f>INT((A17-1)/12)+1</f>
        <v>2</v>
      </c>
      <c r="C17">
        <f>IF(A17&lt;=Assumptions!$B$28,0,INDEX(Assumptions!$B$25:$B$27,B17))</f>
        <v>9</v>
      </c>
      <c r="D17">
        <f>E16*Assumptions!$B$29</f>
        <v>0.7</v>
      </c>
      <c r="E17">
        <f>E16+C17-D17</f>
        <v>55.19</v>
      </c>
      <c r="F17">
        <f>E17*INDEX(Assumptions!$B$21:$D$21,B17)</f>
        <v>83895.96</v>
      </c>
      <c r="G17">
        <f>C17*INDEX(Assumptions!$B$22:$D$22,B17)</f>
        <v>37837.5</v>
      </c>
      <c r="H17">
        <f>F17+G17</f>
        <v>121733.46</v>
      </c>
      <c r="I17">
        <f>F17*12</f>
        <v>1006751.46</v>
      </c>
      <c r="J17">
        <f>Assumptions!$B$33+E17*Assumptions!$B$32</f>
        <v>12538.94</v>
      </c>
      <c r="K17">
        <f>C17*Assumptions!$B$34</f>
        <v>31500</v>
      </c>
      <c r="L17">
        <f>SUMPRODUCT((Assumptions!$C$37:$C$46&lt;=A17)*Assumptions!$B$37:$B$46)/12*(1+Assumptions!$B$47)</f>
        <v>43500</v>
      </c>
      <c r="M17">
        <f>INDEX(Assumptions!$B$50:$D$50,B17)</f>
        <v>10000</v>
      </c>
      <c r="N17">
        <f>INDEX(Assumptions!$B$51:$D$51,B17)</f>
        <v>5000</v>
      </c>
      <c r="O17">
        <f>J17+K17+L17+M17+N17+T17+U17</f>
        <v>128738.69</v>
      </c>
      <c r="P17">
        <f>H17-O17</f>
        <v>-7005.24</v>
      </c>
      <c r="Q17">
        <f>Q16+P17</f>
        <v>-337147.71</v>
      </c>
      <c r="R17">
        <f>Q17+Assumptions!$B$53</f>
        <v>-337147.71</v>
      </c>
      <c r="S17">
        <f>SUMPRODUCT(--(Assumptions!$C$37:$C$46&lt;=A17))</f>
        <v>6</v>
      </c>
      <c r="T17">
        <f>C17*(INDEX(Assumptions!$B$22:$D$22,B17)+12*INDEX(Assumptions!$B$21:$D$21,B17))*Assumptions!$B$35</f>
        <v>20199.75</v>
      </c>
      <c r="U17">
        <f>INDEX(Assumptions!$B$52:$D$52,B17)</f>
        <v>6000</v>
      </c>
    </row>
    <row r="18">
      <c r="A18">
        <v>16</v>
      </c>
      <c r="B18">
        <f>INT((A18-1)/12)+1</f>
        <v>2</v>
      </c>
      <c r="C18">
        <f>IF(A18&lt;=Assumptions!$B$28,0,INDEX(Assumptions!$B$25:$B$27,B18))</f>
        <v>9</v>
      </c>
      <c r="D18">
        <f>E17*Assumptions!$B$29</f>
        <v>0.83</v>
      </c>
      <c r="E18">
        <f>E17+C18-D18</f>
        <v>63.37</v>
      </c>
      <c r="F18">
        <f>E18*INDEX(Assumptions!$B$21:$D$21,B18)</f>
        <v>96317.52</v>
      </c>
      <c r="G18">
        <f>C18*INDEX(Assumptions!$B$22:$D$22,B18)</f>
        <v>37837.5</v>
      </c>
      <c r="H18">
        <f>F18+G18</f>
        <v>134155.02</v>
      </c>
      <c r="I18">
        <f>F18*12</f>
        <v>1155810.19</v>
      </c>
      <c r="J18">
        <f>Assumptions!$B$33+E18*Assumptions!$B$32</f>
        <v>14173.36</v>
      </c>
      <c r="K18">
        <f>C18*Assumptions!$B$34</f>
        <v>31500</v>
      </c>
      <c r="L18">
        <f>SUMPRODUCT((Assumptions!$C$37:$C$46&lt;=A18)*Assumptions!$B$37:$B$46)/12*(1+Assumptions!$B$47)</f>
        <v>43500</v>
      </c>
      <c r="M18">
        <f>INDEX(Assumptions!$B$50:$D$50,B18)</f>
        <v>10000</v>
      </c>
      <c r="N18">
        <f>INDEX(Assumptions!$B$51:$D$51,B18)</f>
        <v>5000</v>
      </c>
      <c r="O18">
        <f>J18+K18+L18+M18+N18+T18+U18</f>
        <v>130373.11</v>
      </c>
      <c r="P18">
        <f>H18-O18</f>
        <v>3781.91</v>
      </c>
      <c r="Q18">
        <f>Q17+P18</f>
        <v>-333365.8</v>
      </c>
      <c r="R18">
        <f>Q18+Assumptions!$B$53</f>
        <v>-333365.8</v>
      </c>
      <c r="S18">
        <f>SUMPRODUCT(--(Assumptions!$C$37:$C$46&lt;=A18))</f>
        <v>6</v>
      </c>
      <c r="T18">
        <f>C18*(INDEX(Assumptions!$B$22:$D$22,B18)+12*INDEX(Assumptions!$B$21:$D$21,B18))*Assumptions!$B$35</f>
        <v>20199.75</v>
      </c>
      <c r="U18">
        <f>INDEX(Assumptions!$B$52:$D$52,B18)</f>
        <v>6000</v>
      </c>
    </row>
    <row r="19">
      <c r="A19">
        <v>17</v>
      </c>
      <c r="B19">
        <f>INT((A19-1)/12)+1</f>
        <v>2</v>
      </c>
      <c r="C19">
        <f>IF(A19&lt;=Assumptions!$B$28,0,INDEX(Assumptions!$B$25:$B$27,B19))</f>
        <v>9</v>
      </c>
      <c r="D19">
        <f>E18*Assumptions!$B$29</f>
        <v>0.95</v>
      </c>
      <c r="E19">
        <f>E18+C19-D19</f>
        <v>71.42</v>
      </c>
      <c r="F19">
        <f>E19*INDEX(Assumptions!$B$21:$D$21,B19)</f>
        <v>108552.75</v>
      </c>
      <c r="G19">
        <f>C19*INDEX(Assumptions!$B$22:$D$22,B19)</f>
        <v>37837.5</v>
      </c>
      <c r="H19">
        <f>F19+G19</f>
        <v>146390.25</v>
      </c>
      <c r="I19">
        <f>F19*12</f>
        <v>1302633.04</v>
      </c>
      <c r="J19">
        <f>Assumptions!$B$33+E19*Assumptions!$B$32</f>
        <v>15783.26</v>
      </c>
      <c r="K19">
        <f>C19*Assumptions!$B$34</f>
        <v>31500</v>
      </c>
      <c r="L19">
        <f>SUMPRODUCT((Assumptions!$C$37:$C$46&lt;=A19)*Assumptions!$B$37:$B$46)/12*(1+Assumptions!$B$47)</f>
        <v>43500</v>
      </c>
      <c r="M19">
        <f>INDEX(Assumptions!$B$50:$D$50,B19)</f>
        <v>10000</v>
      </c>
      <c r="N19">
        <f>INDEX(Assumptions!$B$51:$D$51,B19)</f>
        <v>5000</v>
      </c>
      <c r="O19">
        <f>J19+K19+L19+M19+N19+T19+U19</f>
        <v>131983.01</v>
      </c>
      <c r="P19">
        <f>H19-O19</f>
        <v>14407.25</v>
      </c>
      <c r="Q19">
        <f>Q18+P19</f>
        <v>-318958.56</v>
      </c>
      <c r="R19">
        <f>Q19+Assumptions!$B$53</f>
        <v>-318958.56</v>
      </c>
      <c r="S19">
        <f>SUMPRODUCT(--(Assumptions!$C$37:$C$46&lt;=A19))</f>
        <v>6</v>
      </c>
      <c r="T19">
        <f>C19*(INDEX(Assumptions!$B$22:$D$22,B19)+12*INDEX(Assumptions!$B$21:$D$21,B19))*Assumptions!$B$35</f>
        <v>20199.75</v>
      </c>
      <c r="U19">
        <f>INDEX(Assumptions!$B$52:$D$52,B19)</f>
        <v>6000</v>
      </c>
    </row>
    <row r="20">
      <c r="A20">
        <v>18</v>
      </c>
      <c r="B20">
        <f>INT((A20-1)/12)+1</f>
        <v>2</v>
      </c>
      <c r="C20">
        <f>IF(A20&lt;=Assumptions!$B$28,0,INDEX(Assumptions!$B$25:$B$27,B20))</f>
        <v>9</v>
      </c>
      <c r="D20">
        <f>E19*Assumptions!$B$29</f>
        <v>1.07</v>
      </c>
      <c r="E20">
        <f>E19+C20-D20</f>
        <v>79.35</v>
      </c>
      <c r="F20">
        <f>E20*INDEX(Assumptions!$B$21:$D$21,B20)</f>
        <v>120604.46</v>
      </c>
      <c r="G20">
        <f>C20*INDEX(Assumptions!$B$22:$D$22,B20)</f>
        <v>37837.5</v>
      </c>
      <c r="H20">
        <f>F20+G20</f>
        <v>158441.96</v>
      </c>
      <c r="I20">
        <f>F20*12</f>
        <v>1447253.54</v>
      </c>
      <c r="J20">
        <f>Assumptions!$B$33+E20*Assumptions!$B$32</f>
        <v>17369.01</v>
      </c>
      <c r="K20">
        <f>C20*Assumptions!$B$34</f>
        <v>31500</v>
      </c>
      <c r="L20">
        <f>SUMPRODUCT((Assumptions!$C$37:$C$46&lt;=A20)*Assumptions!$B$37:$B$46)/12*(1+Assumptions!$B$47)</f>
        <v>43500</v>
      </c>
      <c r="M20">
        <f>INDEX(Assumptions!$B$50:$D$50,B20)</f>
        <v>10000</v>
      </c>
      <c r="N20">
        <f>INDEX(Assumptions!$B$51:$D$51,B20)</f>
        <v>5000</v>
      </c>
      <c r="O20">
        <f>J20+K20+L20+M20+N20+T20+U20</f>
        <v>133568.76</v>
      </c>
      <c r="P20">
        <f>H20-O20</f>
        <v>24873.2</v>
      </c>
      <c r="Q20">
        <f>Q19+P20</f>
        <v>-294085.35</v>
      </c>
      <c r="R20">
        <f>Q20+Assumptions!$B$53</f>
        <v>-294085.35</v>
      </c>
      <c r="S20">
        <f>SUMPRODUCT(--(Assumptions!$C$37:$C$46&lt;=A20))</f>
        <v>6</v>
      </c>
      <c r="T20">
        <f>C20*(INDEX(Assumptions!$B$22:$D$22,B20)+12*INDEX(Assumptions!$B$21:$D$21,B20))*Assumptions!$B$35</f>
        <v>20199.75</v>
      </c>
      <c r="U20">
        <f>INDEX(Assumptions!$B$52:$D$52,B20)</f>
        <v>6000</v>
      </c>
    </row>
    <row r="21">
      <c r="A21">
        <v>19</v>
      </c>
      <c r="B21">
        <f>INT((A21-1)/12)+1</f>
        <v>2</v>
      </c>
      <c r="C21">
        <f>IF(A21&lt;=Assumptions!$B$28,0,INDEX(Assumptions!$B$25:$B$27,B21))</f>
        <v>9</v>
      </c>
      <c r="D21">
        <f>E20*Assumptions!$B$29</f>
        <v>1.19</v>
      </c>
      <c r="E21">
        <f>E20+C21-D21</f>
        <v>87.15</v>
      </c>
      <c r="F21">
        <f>E21*INDEX(Assumptions!$B$21:$D$21,B21)</f>
        <v>132475.39</v>
      </c>
      <c r="G21">
        <f>C21*INDEX(Assumptions!$B$22:$D$22,B21)</f>
        <v>37837.5</v>
      </c>
      <c r="H21">
        <f>F21+G21</f>
        <v>170312.89</v>
      </c>
      <c r="I21">
        <f>F21*12</f>
        <v>1589704.74</v>
      </c>
      <c r="J21">
        <f>Assumptions!$B$33+E21*Assumptions!$B$32</f>
        <v>18930.97</v>
      </c>
      <c r="K21">
        <f>C21*Assumptions!$B$34</f>
        <v>31500</v>
      </c>
      <c r="L21">
        <f>SUMPRODUCT((Assumptions!$C$37:$C$46&lt;=A21)*Assumptions!$B$37:$B$46)/12*(1+Assumptions!$B$47)</f>
        <v>43500</v>
      </c>
      <c r="M21">
        <f>INDEX(Assumptions!$B$50:$D$50,B21)</f>
        <v>10000</v>
      </c>
      <c r="N21">
        <f>INDEX(Assumptions!$B$51:$D$51,B21)</f>
        <v>5000</v>
      </c>
      <c r="O21">
        <f>J21+K21+L21+M21+N21+T21+U21</f>
        <v>135130.72</v>
      </c>
      <c r="P21">
        <f>H21-O21</f>
        <v>35182.17</v>
      </c>
      <c r="Q21">
        <f>Q20+P21</f>
        <v>-258903.18</v>
      </c>
      <c r="R21">
        <f>Q21+Assumptions!$B$53</f>
        <v>-258903.18</v>
      </c>
      <c r="S21">
        <f>SUMPRODUCT(--(Assumptions!$C$37:$C$46&lt;=A21))</f>
        <v>6</v>
      </c>
      <c r="T21">
        <f>C21*(INDEX(Assumptions!$B$22:$D$22,B21)+12*INDEX(Assumptions!$B$21:$D$21,B21))*Assumptions!$B$35</f>
        <v>20199.75</v>
      </c>
      <c r="U21">
        <f>INDEX(Assumptions!$B$52:$D$52,B21)</f>
        <v>6000</v>
      </c>
    </row>
    <row r="22">
      <c r="A22">
        <v>20</v>
      </c>
      <c r="B22">
        <f>INT((A22-1)/12)+1</f>
        <v>2</v>
      </c>
      <c r="C22">
        <f>IF(A22&lt;=Assumptions!$B$28,0,INDEX(Assumptions!$B$25:$B$27,B22))</f>
        <v>9</v>
      </c>
      <c r="D22">
        <f>E21*Assumptions!$B$29</f>
        <v>1.31</v>
      </c>
      <c r="E22">
        <f>E21+C22-D22</f>
        <v>94.85</v>
      </c>
      <c r="F22">
        <f>E22*INDEX(Assumptions!$B$21:$D$21,B22)</f>
        <v>144168.26</v>
      </c>
      <c r="G22">
        <f>C22*INDEX(Assumptions!$B$22:$D$22,B22)</f>
        <v>37837.5</v>
      </c>
      <c r="H22">
        <f>F22+G22</f>
        <v>182005.76</v>
      </c>
      <c r="I22">
        <f>F22*12</f>
        <v>1730019.17</v>
      </c>
      <c r="J22">
        <f>Assumptions!$B$33+E22*Assumptions!$B$32</f>
        <v>20469.51</v>
      </c>
      <c r="K22">
        <f>C22*Assumptions!$B$34</f>
        <v>31500</v>
      </c>
      <c r="L22">
        <f>SUMPRODUCT((Assumptions!$C$37:$C$46&lt;=A22)*Assumptions!$B$37:$B$46)/12*(1+Assumptions!$B$47)</f>
        <v>43500</v>
      </c>
      <c r="M22">
        <f>INDEX(Assumptions!$B$50:$D$50,B22)</f>
        <v>10000</v>
      </c>
      <c r="N22">
        <f>INDEX(Assumptions!$B$51:$D$51,B22)</f>
        <v>5000</v>
      </c>
      <c r="O22">
        <f>J22+K22+L22+M22+N22+T22+U22</f>
        <v>136669.26</v>
      </c>
      <c r="P22">
        <f>H22-O22</f>
        <v>45336.51</v>
      </c>
      <c r="Q22">
        <f>Q21+P22</f>
        <v>-213566.68</v>
      </c>
      <c r="R22">
        <f>Q22+Assumptions!$B$53</f>
        <v>-213566.68</v>
      </c>
      <c r="S22">
        <f>SUMPRODUCT(--(Assumptions!$C$37:$C$46&lt;=A22))</f>
        <v>6</v>
      </c>
      <c r="T22">
        <f>C22*(INDEX(Assumptions!$B$22:$D$22,B22)+12*INDEX(Assumptions!$B$21:$D$21,B22))*Assumptions!$B$35</f>
        <v>20199.75</v>
      </c>
      <c r="U22">
        <f>INDEX(Assumptions!$B$52:$D$52,B22)</f>
        <v>6000</v>
      </c>
    </row>
    <row r="23">
      <c r="A23">
        <v>21</v>
      </c>
      <c r="B23">
        <f>INT((A23-1)/12)+1</f>
        <v>2</v>
      </c>
      <c r="C23">
        <f>IF(A23&lt;=Assumptions!$B$28,0,INDEX(Assumptions!$B$25:$B$27,B23))</f>
        <v>9</v>
      </c>
      <c r="D23">
        <f>E22*Assumptions!$B$29</f>
        <v>1.42</v>
      </c>
      <c r="E23">
        <f>E22+C23-D23</f>
        <v>102.42</v>
      </c>
      <c r="F23">
        <f>E23*INDEX(Assumptions!$B$21:$D$21,B23)</f>
        <v>155685.74</v>
      </c>
      <c r="G23">
        <f>C23*INDEX(Assumptions!$B$22:$D$22,B23)</f>
        <v>37837.5</v>
      </c>
      <c r="H23">
        <f>F23+G23</f>
        <v>193523.24</v>
      </c>
      <c r="I23">
        <f>F23*12</f>
        <v>1868228.88</v>
      </c>
      <c r="J23">
        <f>Assumptions!$B$33+E23*Assumptions!$B$32</f>
        <v>21984.97</v>
      </c>
      <c r="K23">
        <f>C23*Assumptions!$B$34</f>
        <v>31500</v>
      </c>
      <c r="L23">
        <f>SUMPRODUCT((Assumptions!$C$37:$C$46&lt;=A23)*Assumptions!$B$37:$B$46)/12*(1+Assumptions!$B$47)</f>
        <v>43500</v>
      </c>
      <c r="M23">
        <f>INDEX(Assumptions!$B$50:$D$50,B23)</f>
        <v>10000</v>
      </c>
      <c r="N23">
        <f>INDEX(Assumptions!$B$51:$D$51,B23)</f>
        <v>5000</v>
      </c>
      <c r="O23">
        <f>J23+K23+L23+M23+N23+T23+U23</f>
        <v>138184.72</v>
      </c>
      <c r="P23">
        <f>H23-O23</f>
        <v>55338.52</v>
      </c>
      <c r="Q23">
        <f>Q22+P23</f>
        <v>-158228.15</v>
      </c>
      <c r="R23">
        <f>Q23+Assumptions!$B$53</f>
        <v>-158228.15</v>
      </c>
      <c r="S23">
        <f>SUMPRODUCT(--(Assumptions!$C$37:$C$46&lt;=A23))</f>
        <v>6</v>
      </c>
      <c r="T23">
        <f>C23*(INDEX(Assumptions!$B$22:$D$22,B23)+12*INDEX(Assumptions!$B$21:$D$21,B23))*Assumptions!$B$35</f>
        <v>20199.75</v>
      </c>
      <c r="U23">
        <f>INDEX(Assumptions!$B$52:$D$52,B23)</f>
        <v>6000</v>
      </c>
    </row>
    <row r="24">
      <c r="A24">
        <v>22</v>
      </c>
      <c r="B24">
        <f>INT((A24-1)/12)+1</f>
        <v>2</v>
      </c>
      <c r="C24">
        <f>IF(A24&lt;=Assumptions!$B$28,0,INDEX(Assumptions!$B$25:$B$27,B24))</f>
        <v>9</v>
      </c>
      <c r="D24">
        <f>E23*Assumptions!$B$29</f>
        <v>1.54</v>
      </c>
      <c r="E24">
        <f>E23+C24-D24</f>
        <v>109.89</v>
      </c>
      <c r="F24">
        <f>E24*INDEX(Assumptions!$B$21:$D$21,B24)</f>
        <v>167030.45</v>
      </c>
      <c r="G24">
        <f>C24*INDEX(Assumptions!$B$22:$D$22,B24)</f>
        <v>37837.5</v>
      </c>
      <c r="H24">
        <f>F24+G24</f>
        <v>204867.95</v>
      </c>
      <c r="I24">
        <f>F24*12</f>
        <v>2004365.45</v>
      </c>
      <c r="J24">
        <f>Assumptions!$B$33+E24*Assumptions!$B$32</f>
        <v>23477.69</v>
      </c>
      <c r="K24">
        <f>C24*Assumptions!$B$34</f>
        <v>31500</v>
      </c>
      <c r="L24">
        <f>SUMPRODUCT((Assumptions!$C$37:$C$46&lt;=A24)*Assumptions!$B$37:$B$46)/12*(1+Assumptions!$B$47)</f>
        <v>43500</v>
      </c>
      <c r="M24">
        <f>INDEX(Assumptions!$B$50:$D$50,B24)</f>
        <v>10000</v>
      </c>
      <c r="N24">
        <f>INDEX(Assumptions!$B$51:$D$51,B24)</f>
        <v>5000</v>
      </c>
      <c r="O24">
        <f>J24+K24+L24+M24+N24+T24+U24</f>
        <v>139677.44</v>
      </c>
      <c r="P24">
        <f>H24-O24</f>
        <v>65190.51</v>
      </c>
      <c r="Q24">
        <f>Q23+P24</f>
        <v>-93037.64</v>
      </c>
      <c r="R24">
        <f>Q24+Assumptions!$B$53</f>
        <v>-93037.64</v>
      </c>
      <c r="S24">
        <f>SUMPRODUCT(--(Assumptions!$C$37:$C$46&lt;=A24))</f>
        <v>6</v>
      </c>
      <c r="T24">
        <f>C24*(INDEX(Assumptions!$B$22:$D$22,B24)+12*INDEX(Assumptions!$B$21:$D$21,B24))*Assumptions!$B$35</f>
        <v>20199.75</v>
      </c>
      <c r="U24">
        <f>INDEX(Assumptions!$B$52:$D$52,B24)</f>
        <v>6000</v>
      </c>
    </row>
    <row r="25">
      <c r="A25">
        <v>23</v>
      </c>
      <c r="B25">
        <f>INT((A25-1)/12)+1</f>
        <v>2</v>
      </c>
      <c r="C25">
        <f>IF(A25&lt;=Assumptions!$B$28,0,INDEX(Assumptions!$B$25:$B$27,B25))</f>
        <v>9</v>
      </c>
      <c r="D25">
        <f>E24*Assumptions!$B$29</f>
        <v>1.65</v>
      </c>
      <c r="E25">
        <f>E24+C25-D25</f>
        <v>117.24</v>
      </c>
      <c r="F25">
        <f>E25*INDEX(Assumptions!$B$21:$D$21,B25)</f>
        <v>178205</v>
      </c>
      <c r="G25">
        <f>C25*INDEX(Assumptions!$B$22:$D$22,B25)</f>
        <v>37837.5</v>
      </c>
      <c r="H25">
        <f>F25+G25</f>
        <v>216042.5</v>
      </c>
      <c r="I25">
        <f>F25*12</f>
        <v>2138459.97</v>
      </c>
      <c r="J25">
        <f>Assumptions!$B$33+E25*Assumptions!$B$32</f>
        <v>24948.03</v>
      </c>
      <c r="K25">
        <f>C25*Assumptions!$B$34</f>
        <v>31500</v>
      </c>
      <c r="L25">
        <f>SUMPRODUCT((Assumptions!$C$37:$C$46&lt;=A25)*Assumptions!$B$37:$B$46)/12*(1+Assumptions!$B$47)</f>
        <v>43500</v>
      </c>
      <c r="M25">
        <f>INDEX(Assumptions!$B$50:$D$50,B25)</f>
        <v>10000</v>
      </c>
      <c r="N25">
        <f>INDEX(Assumptions!$B$51:$D$51,B25)</f>
        <v>5000</v>
      </c>
      <c r="O25">
        <f>J25+K25+L25+M25+N25+T25+U25</f>
        <v>141147.78</v>
      </c>
      <c r="P25">
        <f>H25-O25</f>
        <v>74894.72</v>
      </c>
      <c r="Q25">
        <f>Q24+P25</f>
        <v>-18142.92</v>
      </c>
      <c r="R25">
        <f>Q25+Assumptions!$B$53</f>
        <v>-18142.92</v>
      </c>
      <c r="S25">
        <f>SUMPRODUCT(--(Assumptions!$C$37:$C$46&lt;=A25))</f>
        <v>6</v>
      </c>
      <c r="T25">
        <f>C25*(INDEX(Assumptions!$B$22:$D$22,B25)+12*INDEX(Assumptions!$B$21:$D$21,B25))*Assumptions!$B$35</f>
        <v>20199.75</v>
      </c>
      <c r="U25">
        <f>INDEX(Assumptions!$B$52:$D$52,B25)</f>
        <v>6000</v>
      </c>
    </row>
    <row r="26">
      <c r="A26">
        <v>24</v>
      </c>
      <c r="B26">
        <f>INT((A26-1)/12)+1</f>
        <v>2</v>
      </c>
      <c r="C26">
        <f>IF(A26&lt;=Assumptions!$B$28,0,INDEX(Assumptions!$B$25:$B$27,B26))</f>
        <v>9</v>
      </c>
      <c r="D26">
        <f>E25*Assumptions!$B$29</f>
        <v>1.76</v>
      </c>
      <c r="E26">
        <f>E25+C26-D26</f>
        <v>124.48</v>
      </c>
      <c r="F26">
        <f>E26*INDEX(Assumptions!$B$21:$D$21,B26)</f>
        <v>189211.92</v>
      </c>
      <c r="G26">
        <f>C26*INDEX(Assumptions!$B$22:$D$22,B26)</f>
        <v>37837.5</v>
      </c>
      <c r="H26">
        <f>F26+G26</f>
        <v>227049.42</v>
      </c>
      <c r="I26">
        <f>F26*12</f>
        <v>2270543.07</v>
      </c>
      <c r="J26">
        <f>Assumptions!$B$33+E26*Assumptions!$B$32</f>
        <v>26396.31</v>
      </c>
      <c r="K26">
        <f>C26*Assumptions!$B$34</f>
        <v>31500</v>
      </c>
      <c r="L26">
        <f>SUMPRODUCT((Assumptions!$C$37:$C$46&lt;=A26)*Assumptions!$B$37:$B$46)/12*(1+Assumptions!$B$47)</f>
        <v>43500</v>
      </c>
      <c r="M26">
        <f>INDEX(Assumptions!$B$50:$D$50,B26)</f>
        <v>10000</v>
      </c>
      <c r="N26">
        <f>INDEX(Assumptions!$B$51:$D$51,B26)</f>
        <v>5000</v>
      </c>
      <c r="O26">
        <f>J26+K26+L26+M26+N26+T26+U26</f>
        <v>142596.06</v>
      </c>
      <c r="P26">
        <f>H26-O26</f>
        <v>84453.37</v>
      </c>
      <c r="Q26">
        <f>Q25+P26</f>
        <v>66310.45</v>
      </c>
      <c r="R26">
        <f>Q26+Assumptions!$B$53</f>
        <v>66310.45</v>
      </c>
      <c r="S26">
        <f>SUMPRODUCT(--(Assumptions!$C$37:$C$46&lt;=A26))</f>
        <v>6</v>
      </c>
      <c r="T26">
        <f>C26*(INDEX(Assumptions!$B$22:$D$22,B26)+12*INDEX(Assumptions!$B$21:$D$21,B26))*Assumptions!$B$35</f>
        <v>20199.75</v>
      </c>
      <c r="U26">
        <f>INDEX(Assumptions!$B$52:$D$52,B26)</f>
        <v>6000</v>
      </c>
    </row>
    <row r="27">
      <c r="A27">
        <v>25</v>
      </c>
      <c r="B27">
        <f>INT((A27-1)/12)+1</f>
        <v>3</v>
      </c>
      <c r="C27">
        <f>IF(A27&lt;=Assumptions!$B$28,0,INDEX(Assumptions!$B$25:$B$27,B27))</f>
        <v>22</v>
      </c>
      <c r="D27">
        <f>E26*Assumptions!$B$29</f>
        <v>1.87</v>
      </c>
      <c r="E27">
        <f>E26+C27-D27</f>
        <v>144.61</v>
      </c>
      <c r="F27">
        <f>E27*INDEX(Assumptions!$B$21:$D$21,B27)</f>
        <v>228743.68</v>
      </c>
      <c r="G27">
        <f>C27*INDEX(Assumptions!$B$22:$D$22,B27)</f>
        <v>89925</v>
      </c>
      <c r="H27">
        <f>F27+G27</f>
        <v>318668.68</v>
      </c>
      <c r="I27">
        <f>F27*12</f>
        <v>2744924.12</v>
      </c>
      <c r="J27">
        <f>Assumptions!$B$33+E27*Assumptions!$B$32</f>
        <v>30422.86</v>
      </c>
      <c r="K27">
        <f>C27*Assumptions!$B$34</f>
        <v>77000</v>
      </c>
      <c r="L27">
        <f>SUMPRODUCT((Assumptions!$C$37:$C$46&lt;=A27)*Assumptions!$B$37:$B$46)/12*(1+Assumptions!$B$47)</f>
        <v>67500</v>
      </c>
      <c r="M27">
        <f>INDEX(Assumptions!$B$50:$D$50,B27)</f>
        <v>20000</v>
      </c>
      <c r="N27">
        <f>INDEX(Assumptions!$B$51:$D$51,B27)</f>
        <v>8000</v>
      </c>
      <c r="O27">
        <f>J27+K27+L27+M27+N27+T27+U27</f>
        <v>261673.56</v>
      </c>
      <c r="P27">
        <f>H27-O27</f>
        <v>56995.12</v>
      </c>
      <c r="Q27">
        <f>Q26+P27</f>
        <v>123305.56</v>
      </c>
      <c r="R27">
        <f>Q27+Assumptions!$B$53</f>
        <v>123305.56</v>
      </c>
      <c r="S27">
        <f>SUMPRODUCT(--(Assumptions!$C$37:$C$46&lt;=A27))</f>
        <v>10</v>
      </c>
      <c r="T27">
        <f>C27*(INDEX(Assumptions!$B$22:$D$22,B27)+12*INDEX(Assumptions!$B$21:$D$21,B27))*Assumptions!$B$35</f>
        <v>50750.7</v>
      </c>
      <c r="U27">
        <f>INDEX(Assumptions!$B$52:$D$52,B27)</f>
        <v>8000</v>
      </c>
    </row>
    <row r="28">
      <c r="A28">
        <v>26</v>
      </c>
      <c r="B28">
        <f>INT((A28-1)/12)+1</f>
        <v>3</v>
      </c>
      <c r="C28">
        <f>IF(A28&lt;=Assumptions!$B$28,0,INDEX(Assumptions!$B$25:$B$27,B28))</f>
        <v>22</v>
      </c>
      <c r="D28">
        <f>E27*Assumptions!$B$29</f>
        <v>2.17</v>
      </c>
      <c r="E28">
        <f>E27+C28-D28</f>
        <v>164.45</v>
      </c>
      <c r="F28">
        <f>E28*INDEX(Assumptions!$B$21:$D$21,B28)</f>
        <v>260111.02</v>
      </c>
      <c r="G28">
        <f>C28*INDEX(Assumptions!$B$22:$D$22,B28)</f>
        <v>89925</v>
      </c>
      <c r="H28">
        <f>F28+G28</f>
        <v>350036.02</v>
      </c>
      <c r="I28">
        <f>F28*12</f>
        <v>3121332.26</v>
      </c>
      <c r="J28">
        <f>Assumptions!$B$33+E28*Assumptions!$B$32</f>
        <v>34389.02</v>
      </c>
      <c r="K28">
        <f>C28*Assumptions!$B$34</f>
        <v>77000</v>
      </c>
      <c r="L28">
        <f>SUMPRODUCT((Assumptions!$C$37:$C$46&lt;=A28)*Assumptions!$B$37:$B$46)/12*(1+Assumptions!$B$47)</f>
        <v>67500</v>
      </c>
      <c r="M28">
        <f>INDEX(Assumptions!$B$50:$D$50,B28)</f>
        <v>20000</v>
      </c>
      <c r="N28">
        <f>INDEX(Assumptions!$B$51:$D$51,B28)</f>
        <v>8000</v>
      </c>
      <c r="O28">
        <f>J28+K28+L28+M28+N28+T28+U28</f>
        <v>265639.72</v>
      </c>
      <c r="P28">
        <f>H28-O28</f>
        <v>84396.3</v>
      </c>
      <c r="Q28">
        <f>Q27+P28</f>
        <v>207701.87</v>
      </c>
      <c r="R28">
        <f>Q28+Assumptions!$B$53</f>
        <v>207701.87</v>
      </c>
      <c r="S28">
        <f>SUMPRODUCT(--(Assumptions!$C$37:$C$46&lt;=A28))</f>
        <v>10</v>
      </c>
      <c r="T28">
        <f>C28*(INDEX(Assumptions!$B$22:$D$22,B28)+12*INDEX(Assumptions!$B$21:$D$21,B28))*Assumptions!$B$35</f>
        <v>50750.7</v>
      </c>
      <c r="U28">
        <f>INDEX(Assumptions!$B$52:$D$52,B28)</f>
        <v>8000</v>
      </c>
    </row>
    <row r="29">
      <c r="A29">
        <v>27</v>
      </c>
      <c r="B29">
        <f>INT((A29-1)/12)+1</f>
        <v>3</v>
      </c>
      <c r="C29">
        <f>IF(A29&lt;=Assumptions!$B$28,0,INDEX(Assumptions!$B$25:$B$27,B29))</f>
        <v>22</v>
      </c>
      <c r="D29">
        <f>E28*Assumptions!$B$29</f>
        <v>2.47</v>
      </c>
      <c r="E29">
        <f>E28+C29-D29</f>
        <v>183.98</v>
      </c>
      <c r="F29">
        <f>E29*INDEX(Assumptions!$B$21:$D$21,B29)</f>
        <v>291007.86</v>
      </c>
      <c r="G29">
        <f>C29*INDEX(Assumptions!$B$22:$D$22,B29)</f>
        <v>89925</v>
      </c>
      <c r="H29">
        <f>F29+G29</f>
        <v>380932.86</v>
      </c>
      <c r="I29">
        <f>F29*12</f>
        <v>3492094.27</v>
      </c>
      <c r="J29">
        <f>Assumptions!$B$33+E29*Assumptions!$B$32</f>
        <v>38295.68</v>
      </c>
      <c r="K29">
        <f>C29*Assumptions!$B$34</f>
        <v>77000</v>
      </c>
      <c r="L29">
        <f>SUMPRODUCT((Assumptions!$C$37:$C$46&lt;=A29)*Assumptions!$B$37:$B$46)/12*(1+Assumptions!$B$47)</f>
        <v>67500</v>
      </c>
      <c r="M29">
        <f>INDEX(Assumptions!$B$50:$D$50,B29)</f>
        <v>20000</v>
      </c>
      <c r="N29">
        <f>INDEX(Assumptions!$B$51:$D$51,B29)</f>
        <v>8000</v>
      </c>
      <c r="O29">
        <f>J29+K29+L29+M29+N29+T29+U29</f>
        <v>269546.38</v>
      </c>
      <c r="P29">
        <f>H29-O29</f>
        <v>111386.47</v>
      </c>
      <c r="Q29">
        <f>Q28+P29</f>
        <v>319088.34</v>
      </c>
      <c r="R29">
        <f>Q29+Assumptions!$B$53</f>
        <v>319088.34</v>
      </c>
      <c r="S29">
        <f>SUMPRODUCT(--(Assumptions!$C$37:$C$46&lt;=A29))</f>
        <v>10</v>
      </c>
      <c r="T29">
        <f>C29*(INDEX(Assumptions!$B$22:$D$22,B29)+12*INDEX(Assumptions!$B$21:$D$21,B29))*Assumptions!$B$35</f>
        <v>50750.7</v>
      </c>
      <c r="U29">
        <f>INDEX(Assumptions!$B$52:$D$52,B29)</f>
        <v>8000</v>
      </c>
    </row>
    <row r="30">
      <c r="A30">
        <v>28</v>
      </c>
      <c r="B30">
        <f>INT((A30-1)/12)+1</f>
        <v>3</v>
      </c>
      <c r="C30">
        <f>IF(A30&lt;=Assumptions!$B$28,0,INDEX(Assumptions!$B$25:$B$27,B30))</f>
        <v>22</v>
      </c>
      <c r="D30">
        <f>E29*Assumptions!$B$29</f>
        <v>2.76</v>
      </c>
      <c r="E30">
        <f>E29+C30-D30</f>
        <v>203.22</v>
      </c>
      <c r="F30">
        <f>E30*INDEX(Assumptions!$B$21:$D$21,B30)</f>
        <v>321441.24</v>
      </c>
      <c r="G30">
        <f>C30*INDEX(Assumptions!$B$22:$D$22,B30)</f>
        <v>89925</v>
      </c>
      <c r="H30">
        <f>F30+G30</f>
        <v>411366.24</v>
      </c>
      <c r="I30">
        <f>F30*12</f>
        <v>3857294.86</v>
      </c>
      <c r="J30">
        <f>Assumptions!$B$33+E30*Assumptions!$B$32</f>
        <v>42143.75</v>
      </c>
      <c r="K30">
        <f>C30*Assumptions!$B$34</f>
        <v>77000</v>
      </c>
      <c r="L30">
        <f>SUMPRODUCT((Assumptions!$C$37:$C$46&lt;=A30)*Assumptions!$B$37:$B$46)/12*(1+Assumptions!$B$47)</f>
        <v>67500</v>
      </c>
      <c r="M30">
        <f>INDEX(Assumptions!$B$50:$D$50,B30)</f>
        <v>20000</v>
      </c>
      <c r="N30">
        <f>INDEX(Assumptions!$B$51:$D$51,B30)</f>
        <v>8000</v>
      </c>
      <c r="O30">
        <f>J30+K30+L30+M30+N30+T30+U30</f>
        <v>273394.45</v>
      </c>
      <c r="P30">
        <f>H30-O30</f>
        <v>137971.79</v>
      </c>
      <c r="Q30">
        <f>Q29+P30</f>
        <v>457060.13</v>
      </c>
      <c r="R30">
        <f>Q30+Assumptions!$B$53</f>
        <v>457060.13</v>
      </c>
      <c r="S30">
        <f>SUMPRODUCT(--(Assumptions!$C$37:$C$46&lt;=A30))</f>
        <v>10</v>
      </c>
      <c r="T30">
        <f>C30*(INDEX(Assumptions!$B$22:$D$22,B30)+12*INDEX(Assumptions!$B$21:$D$21,B30))*Assumptions!$B$35</f>
        <v>50750.7</v>
      </c>
      <c r="U30">
        <f>INDEX(Assumptions!$B$52:$D$52,B30)</f>
        <v>8000</v>
      </c>
    </row>
    <row r="31">
      <c r="A31">
        <v>29</v>
      </c>
      <c r="B31">
        <f>INT((A31-1)/12)+1</f>
        <v>3</v>
      </c>
      <c r="C31">
        <f>IF(A31&lt;=Assumptions!$B$28,0,INDEX(Assumptions!$B$25:$B$27,B31))</f>
        <v>22</v>
      </c>
      <c r="D31">
        <f>E30*Assumptions!$B$29</f>
        <v>3.05</v>
      </c>
      <c r="E31">
        <f>E30+C31-D31</f>
        <v>222.17</v>
      </c>
      <c r="F31">
        <f>E31*INDEX(Assumptions!$B$21:$D$21,B31)</f>
        <v>351418.12</v>
      </c>
      <c r="G31">
        <f>C31*INDEX(Assumptions!$B$22:$D$22,B31)</f>
        <v>89925</v>
      </c>
      <c r="H31">
        <f>F31+G31</f>
        <v>441343.12</v>
      </c>
      <c r="I31">
        <f>F31*12</f>
        <v>4217017.44</v>
      </c>
      <c r="J31">
        <f>Assumptions!$B$33+E31*Assumptions!$B$32</f>
        <v>45934.09</v>
      </c>
      <c r="K31">
        <f>C31*Assumptions!$B$34</f>
        <v>77000</v>
      </c>
      <c r="L31">
        <f>SUMPRODUCT((Assumptions!$C$37:$C$46&lt;=A31)*Assumptions!$B$37:$B$46)/12*(1+Assumptions!$B$47)</f>
        <v>67500</v>
      </c>
      <c r="M31">
        <f>INDEX(Assumptions!$B$50:$D$50,B31)</f>
        <v>20000</v>
      </c>
      <c r="N31">
        <f>INDEX(Assumptions!$B$51:$D$51,B31)</f>
        <v>8000</v>
      </c>
      <c r="O31">
        <f>J31+K31+L31+M31+N31+T31+U31</f>
        <v>277184.79</v>
      </c>
      <c r="P31">
        <f>H31-O31</f>
        <v>164158.33</v>
      </c>
      <c r="Q31">
        <f>Q30+P31</f>
        <v>621218.46</v>
      </c>
      <c r="R31">
        <f>Q31+Assumptions!$B$53</f>
        <v>621218.46</v>
      </c>
      <c r="S31">
        <f>SUMPRODUCT(--(Assumptions!$C$37:$C$46&lt;=A31))</f>
        <v>10</v>
      </c>
      <c r="T31">
        <f>C31*(INDEX(Assumptions!$B$22:$D$22,B31)+12*INDEX(Assumptions!$B$21:$D$21,B31))*Assumptions!$B$35</f>
        <v>50750.7</v>
      </c>
      <c r="U31">
        <f>INDEX(Assumptions!$B$52:$D$52,B31)</f>
        <v>8000</v>
      </c>
    </row>
    <row r="32">
      <c r="A32">
        <v>30</v>
      </c>
      <c r="B32">
        <f>INT((A32-1)/12)+1</f>
        <v>3</v>
      </c>
      <c r="C32">
        <f>IF(A32&lt;=Assumptions!$B$28,0,INDEX(Assumptions!$B$25:$B$27,B32))</f>
        <v>22</v>
      </c>
      <c r="D32">
        <f>E31*Assumptions!$B$29</f>
        <v>3.33</v>
      </c>
      <c r="E32">
        <f>E31+C32-D32</f>
        <v>240.84</v>
      </c>
      <c r="F32">
        <f>E32*INDEX(Assumptions!$B$21:$D$21,B32)</f>
        <v>380945.35</v>
      </c>
      <c r="G32">
        <f>C32*INDEX(Assumptions!$B$22:$D$22,B32)</f>
        <v>89925</v>
      </c>
      <c r="H32">
        <f>F32+G32</f>
        <v>470870.35</v>
      </c>
      <c r="I32">
        <f>F32*12</f>
        <v>4571344.18</v>
      </c>
      <c r="J32">
        <f>Assumptions!$B$33+E32*Assumptions!$B$32</f>
        <v>49667.58</v>
      </c>
      <c r="K32">
        <f>C32*Assumptions!$B$34</f>
        <v>77000</v>
      </c>
      <c r="L32">
        <f>SUMPRODUCT((Assumptions!$C$37:$C$46&lt;=A32)*Assumptions!$B$37:$B$46)/12*(1+Assumptions!$B$47)</f>
        <v>67500</v>
      </c>
      <c r="M32">
        <f>INDEX(Assumptions!$B$50:$D$50,B32)</f>
        <v>20000</v>
      </c>
      <c r="N32">
        <f>INDEX(Assumptions!$B$51:$D$51,B32)</f>
        <v>8000</v>
      </c>
      <c r="O32">
        <f>J32+K32+L32+M32+N32+T32+U32</f>
        <v>280918.28</v>
      </c>
      <c r="P32">
        <f>H32-O32</f>
        <v>189952.07</v>
      </c>
      <c r="Q32">
        <f>Q31+P32</f>
        <v>811170.53</v>
      </c>
      <c r="R32">
        <f>Q32+Assumptions!$B$53</f>
        <v>811170.53</v>
      </c>
      <c r="S32">
        <f>SUMPRODUCT(--(Assumptions!$C$37:$C$46&lt;=A32))</f>
        <v>10</v>
      </c>
      <c r="T32">
        <f>C32*(INDEX(Assumptions!$B$22:$D$22,B32)+12*INDEX(Assumptions!$B$21:$D$21,B32))*Assumptions!$B$35</f>
        <v>50750.7</v>
      </c>
      <c r="U32">
        <f>INDEX(Assumptions!$B$52:$D$52,B32)</f>
        <v>8000</v>
      </c>
    </row>
    <row r="33">
      <c r="A33">
        <v>31</v>
      </c>
      <c r="B33">
        <f>INT((A33-1)/12)+1</f>
        <v>3</v>
      </c>
      <c r="C33">
        <f>IF(A33&lt;=Assumptions!$B$28,0,INDEX(Assumptions!$B$25:$B$27,B33))</f>
        <v>22</v>
      </c>
      <c r="D33">
        <f>E32*Assumptions!$B$29</f>
        <v>3.61</v>
      </c>
      <c r="E33">
        <f>E32+C33-D33</f>
        <v>259.23</v>
      </c>
      <c r="F33">
        <f>E33*INDEX(Assumptions!$B$21:$D$21,B33)</f>
        <v>410029.67</v>
      </c>
      <c r="G33">
        <f>C33*INDEX(Assumptions!$B$22:$D$22,B33)</f>
        <v>89925</v>
      </c>
      <c r="H33">
        <f>F33+G33</f>
        <v>499954.67</v>
      </c>
      <c r="I33">
        <f>F33*12</f>
        <v>4920356.01</v>
      </c>
      <c r="J33">
        <f>Assumptions!$B$33+E33*Assumptions!$B$32</f>
        <v>53345.07</v>
      </c>
      <c r="K33">
        <f>C33*Assumptions!$B$34</f>
        <v>77000</v>
      </c>
      <c r="L33">
        <f>SUMPRODUCT((Assumptions!$C$37:$C$46&lt;=A33)*Assumptions!$B$37:$B$46)/12*(1+Assumptions!$B$47)</f>
        <v>67500</v>
      </c>
      <c r="M33">
        <f>INDEX(Assumptions!$B$50:$D$50,B33)</f>
        <v>20000</v>
      </c>
      <c r="N33">
        <f>INDEX(Assumptions!$B$51:$D$51,B33)</f>
        <v>8000</v>
      </c>
      <c r="O33">
        <f>J33+K33+L33+M33+N33+T33+U33</f>
        <v>284595.77</v>
      </c>
      <c r="P33">
        <f>H33-O33</f>
        <v>215358.9</v>
      </c>
      <c r="Q33">
        <f>Q32+P33</f>
        <v>1026529.43</v>
      </c>
      <c r="R33">
        <f>Q33+Assumptions!$B$53</f>
        <v>1026529.43</v>
      </c>
      <c r="S33">
        <f>SUMPRODUCT(--(Assumptions!$C$37:$C$46&lt;=A33))</f>
        <v>10</v>
      </c>
      <c r="T33">
        <f>C33*(INDEX(Assumptions!$B$22:$D$22,B33)+12*INDEX(Assumptions!$B$21:$D$21,B33))*Assumptions!$B$35</f>
        <v>50750.7</v>
      </c>
      <c r="U33">
        <f>INDEX(Assumptions!$B$52:$D$52,B33)</f>
        <v>8000</v>
      </c>
    </row>
    <row r="34">
      <c r="A34">
        <v>32</v>
      </c>
      <c r="B34">
        <f>INT((A34-1)/12)+1</f>
        <v>3</v>
      </c>
      <c r="C34">
        <f>IF(A34&lt;=Assumptions!$B$28,0,INDEX(Assumptions!$B$25:$B$27,B34))</f>
        <v>22</v>
      </c>
      <c r="D34">
        <f>E33*Assumptions!$B$29</f>
        <v>3.89</v>
      </c>
      <c r="E34">
        <f>E33+C34-D34</f>
        <v>277.34</v>
      </c>
      <c r="F34">
        <f>E34*INDEX(Assumptions!$B$21:$D$21,B34)</f>
        <v>438677.72</v>
      </c>
      <c r="G34">
        <f>C34*INDEX(Assumptions!$B$22:$D$22,B34)</f>
        <v>89925</v>
      </c>
      <c r="H34">
        <f>F34+G34</f>
        <v>528602.72</v>
      </c>
      <c r="I34">
        <f>F34*12</f>
        <v>5264132.67</v>
      </c>
      <c r="J34">
        <f>Assumptions!$B$33+E34*Assumptions!$B$32</f>
        <v>56967.39</v>
      </c>
      <c r="K34">
        <f>C34*Assumptions!$B$34</f>
        <v>77000</v>
      </c>
      <c r="L34">
        <f>SUMPRODUCT((Assumptions!$C$37:$C$46&lt;=A34)*Assumptions!$B$37:$B$46)/12*(1+Assumptions!$B$47)</f>
        <v>67500</v>
      </c>
      <c r="M34">
        <f>INDEX(Assumptions!$B$50:$D$50,B34)</f>
        <v>20000</v>
      </c>
      <c r="N34">
        <f>INDEX(Assumptions!$B$51:$D$51,B34)</f>
        <v>8000</v>
      </c>
      <c r="O34">
        <f>J34+K34+L34+M34+N34+T34+U34</f>
        <v>288218.09</v>
      </c>
      <c r="P34">
        <f>H34-O34</f>
        <v>240384.63</v>
      </c>
      <c r="Q34">
        <f>Q33+P34</f>
        <v>1266914.06</v>
      </c>
      <c r="R34">
        <f>Q34+Assumptions!$B$53</f>
        <v>1266914.06</v>
      </c>
      <c r="S34">
        <f>SUMPRODUCT(--(Assumptions!$C$37:$C$46&lt;=A34))</f>
        <v>10</v>
      </c>
      <c r="T34">
        <f>C34*(INDEX(Assumptions!$B$22:$D$22,B34)+12*INDEX(Assumptions!$B$21:$D$21,B34))*Assumptions!$B$35</f>
        <v>50750.7</v>
      </c>
      <c r="U34">
        <f>INDEX(Assumptions!$B$52:$D$52,B34)</f>
        <v>8000</v>
      </c>
    </row>
    <row r="35">
      <c r="A35">
        <v>33</v>
      </c>
      <c r="B35">
        <f>INT((A35-1)/12)+1</f>
        <v>3</v>
      </c>
      <c r="C35">
        <f>IF(A35&lt;=Assumptions!$B$28,0,INDEX(Assumptions!$B$25:$B$27,B35))</f>
        <v>22</v>
      </c>
      <c r="D35">
        <f>E34*Assumptions!$B$29</f>
        <v>4.16</v>
      </c>
      <c r="E35">
        <f>E34+C35-D35</f>
        <v>295.18</v>
      </c>
      <c r="F35">
        <f>E35*INDEX(Assumptions!$B$21:$D$21,B35)</f>
        <v>466896.06</v>
      </c>
      <c r="G35">
        <f>C35*INDEX(Assumptions!$B$22:$D$22,B35)</f>
        <v>89925</v>
      </c>
      <c r="H35">
        <f>F35+G35</f>
        <v>556821.06</v>
      </c>
      <c r="I35">
        <f>F35*12</f>
        <v>5602752.68</v>
      </c>
      <c r="J35">
        <f>Assumptions!$B$33+E35*Assumptions!$B$32</f>
        <v>60535.38</v>
      </c>
      <c r="K35">
        <f>C35*Assumptions!$B$34</f>
        <v>77000</v>
      </c>
      <c r="L35">
        <f>SUMPRODUCT((Assumptions!$C$37:$C$46&lt;=A35)*Assumptions!$B$37:$B$46)/12*(1+Assumptions!$B$47)</f>
        <v>67500</v>
      </c>
      <c r="M35">
        <f>INDEX(Assumptions!$B$50:$D$50,B35)</f>
        <v>20000</v>
      </c>
      <c r="N35">
        <f>INDEX(Assumptions!$B$51:$D$51,B35)</f>
        <v>8000</v>
      </c>
      <c r="O35">
        <f>J35+K35+L35+M35+N35+T35+U35</f>
        <v>291786.08</v>
      </c>
      <c r="P35">
        <f>H35-O35</f>
        <v>265034.98</v>
      </c>
      <c r="Q35">
        <f>Q34+P35</f>
        <v>1531949.04</v>
      </c>
      <c r="R35">
        <f>Q35+Assumptions!$B$53</f>
        <v>1531949.04</v>
      </c>
      <c r="S35">
        <f>SUMPRODUCT(--(Assumptions!$C$37:$C$46&lt;=A35))</f>
        <v>10</v>
      </c>
      <c r="T35">
        <f>C35*(INDEX(Assumptions!$B$22:$D$22,B35)+12*INDEX(Assumptions!$B$21:$D$21,B35))*Assumptions!$B$35</f>
        <v>50750.7</v>
      </c>
      <c r="U35">
        <f>INDEX(Assumptions!$B$52:$D$52,B35)</f>
        <v>8000</v>
      </c>
    </row>
    <row r="36">
      <c r="A36">
        <v>34</v>
      </c>
      <c r="B36">
        <f>INT((A36-1)/12)+1</f>
        <v>3</v>
      </c>
      <c r="C36">
        <f>IF(A36&lt;=Assumptions!$B$28,0,INDEX(Assumptions!$B$25:$B$27,B36))</f>
        <v>22</v>
      </c>
      <c r="D36">
        <f>E35*Assumptions!$B$29</f>
        <v>4.43</v>
      </c>
      <c r="E36">
        <f>E35+C36-D36</f>
        <v>312.75</v>
      </c>
      <c r="F36">
        <f>E36*INDEX(Assumptions!$B$21:$D$21,B36)</f>
        <v>494691.12</v>
      </c>
      <c r="G36">
        <f>C36*INDEX(Assumptions!$B$22:$D$22,B36)</f>
        <v>89925</v>
      </c>
      <c r="H36">
        <f>F36+G36</f>
        <v>584616.12</v>
      </c>
      <c r="I36">
        <f>F36*12</f>
        <v>5936293.39</v>
      </c>
      <c r="J36">
        <f>Assumptions!$B$33+E36*Assumptions!$B$32</f>
        <v>64049.85</v>
      </c>
      <c r="K36">
        <f>C36*Assumptions!$B$34</f>
        <v>77000</v>
      </c>
      <c r="L36">
        <f>SUMPRODUCT((Assumptions!$C$37:$C$46&lt;=A36)*Assumptions!$B$37:$B$46)/12*(1+Assumptions!$B$47)</f>
        <v>67500</v>
      </c>
      <c r="M36">
        <f>INDEX(Assumptions!$B$50:$D$50,B36)</f>
        <v>20000</v>
      </c>
      <c r="N36">
        <f>INDEX(Assumptions!$B$51:$D$51,B36)</f>
        <v>8000</v>
      </c>
      <c r="O36">
        <f>J36+K36+L36+M36+N36+T36+U36</f>
        <v>295300.55</v>
      </c>
      <c r="P36">
        <f>H36-O36</f>
        <v>289315.57</v>
      </c>
      <c r="Q36">
        <f>Q35+P36</f>
        <v>1821264.61</v>
      </c>
      <c r="R36">
        <f>Q36+Assumptions!$B$53</f>
        <v>1821264.61</v>
      </c>
      <c r="S36">
        <f>SUMPRODUCT(--(Assumptions!$C$37:$C$46&lt;=A36))</f>
        <v>10</v>
      </c>
      <c r="T36">
        <f>C36*(INDEX(Assumptions!$B$22:$D$22,B36)+12*INDEX(Assumptions!$B$21:$D$21,B36))*Assumptions!$B$35</f>
        <v>50750.7</v>
      </c>
      <c r="U36">
        <f>INDEX(Assumptions!$B$52:$D$52,B36)</f>
        <v>8000</v>
      </c>
    </row>
    <row r="37">
      <c r="A37">
        <v>35</v>
      </c>
      <c r="B37">
        <f>INT((A37-1)/12)+1</f>
        <v>3</v>
      </c>
      <c r="C37">
        <f>IF(A37&lt;=Assumptions!$B$28,0,INDEX(Assumptions!$B$25:$B$27,B37))</f>
        <v>22</v>
      </c>
      <c r="D37">
        <f>E36*Assumptions!$B$29</f>
        <v>4.69</v>
      </c>
      <c r="E37">
        <f>E36+C37-D37</f>
        <v>330.06</v>
      </c>
      <c r="F37">
        <f>E37*INDEX(Assumptions!$B$21:$D$21,B37)</f>
        <v>522069.25</v>
      </c>
      <c r="G37">
        <f>C37*INDEX(Assumptions!$B$22:$D$22,B37)</f>
        <v>89925</v>
      </c>
      <c r="H37">
        <f>F37+G37</f>
        <v>611994.25</v>
      </c>
      <c r="I37">
        <f>F37*12</f>
        <v>6264830.99</v>
      </c>
      <c r="J37">
        <f>Assumptions!$B$33+E37*Assumptions!$B$32</f>
        <v>67511.6</v>
      </c>
      <c r="K37">
        <f>C37*Assumptions!$B$34</f>
        <v>77000</v>
      </c>
      <c r="L37">
        <f>SUMPRODUCT((Assumptions!$C$37:$C$46&lt;=A37)*Assumptions!$B$37:$B$46)/12*(1+Assumptions!$B$47)</f>
        <v>67500</v>
      </c>
      <c r="M37">
        <f>INDEX(Assumptions!$B$50:$D$50,B37)</f>
        <v>20000</v>
      </c>
      <c r="N37">
        <f>INDEX(Assumptions!$B$51:$D$51,B37)</f>
        <v>8000</v>
      </c>
      <c r="O37">
        <f>J37+K37+L37+M37+N37+T37+U37</f>
        <v>298762.3</v>
      </c>
      <c r="P37">
        <f>H37-O37</f>
        <v>313231.95</v>
      </c>
      <c r="Q37">
        <f>Q36+P37</f>
        <v>2134496.56</v>
      </c>
      <c r="R37">
        <f>Q37+Assumptions!$B$53</f>
        <v>2134496.56</v>
      </c>
      <c r="S37">
        <f>SUMPRODUCT(--(Assumptions!$C$37:$C$46&lt;=A37))</f>
        <v>10</v>
      </c>
      <c r="T37">
        <f>C37*(INDEX(Assumptions!$B$22:$D$22,B37)+12*INDEX(Assumptions!$B$21:$D$21,B37))*Assumptions!$B$35</f>
        <v>50750.7</v>
      </c>
      <c r="U37">
        <f>INDEX(Assumptions!$B$52:$D$52,B37)</f>
        <v>8000</v>
      </c>
    </row>
    <row r="38">
      <c r="A38">
        <v>36</v>
      </c>
      <c r="B38">
        <f>INT((A38-1)/12)+1</f>
        <v>3</v>
      </c>
      <c r="C38">
        <f>IF(A38&lt;=Assumptions!$B$28,0,INDEX(Assumptions!$B$25:$B$27,B38))</f>
        <v>22</v>
      </c>
      <c r="D38">
        <f>E37*Assumptions!$B$29</f>
        <v>4.95</v>
      </c>
      <c r="E38">
        <f>E37+C38-D38</f>
        <v>347.11</v>
      </c>
      <c r="F38">
        <f>E38*INDEX(Assumptions!$B$21:$D$21,B38)</f>
        <v>549036.71</v>
      </c>
      <c r="G38">
        <f>C38*INDEX(Assumptions!$B$22:$D$22,B38)</f>
        <v>89925</v>
      </c>
      <c r="H38">
        <f>F38+G38</f>
        <v>638961.71</v>
      </c>
      <c r="I38">
        <f>F38*12</f>
        <v>6588440.53</v>
      </c>
      <c r="J38">
        <f>Assumptions!$B$33+E38*Assumptions!$B$32</f>
        <v>70921.43</v>
      </c>
      <c r="K38">
        <f>C38*Assumptions!$B$34</f>
        <v>77000</v>
      </c>
      <c r="L38">
        <f>SUMPRODUCT((Assumptions!$C$37:$C$46&lt;=A38)*Assumptions!$B$37:$B$46)/12*(1+Assumptions!$B$47)</f>
        <v>67500</v>
      </c>
      <c r="M38">
        <f>INDEX(Assumptions!$B$50:$D$50,B38)</f>
        <v>20000</v>
      </c>
      <c r="N38">
        <f>INDEX(Assumptions!$B$51:$D$51,B38)</f>
        <v>8000</v>
      </c>
      <c r="O38">
        <f>J38+K38+L38+M38+N38+T38+U38</f>
        <v>302172.13</v>
      </c>
      <c r="P38">
        <f>H38-O38</f>
        <v>336789.58</v>
      </c>
      <c r="Q38">
        <f>Q37+P38</f>
        <v>2471286.14</v>
      </c>
      <c r="R38">
        <f>Q38+Assumptions!$B$53</f>
        <v>2471286.14</v>
      </c>
      <c r="S38">
        <f>SUMPRODUCT(--(Assumptions!$C$37:$C$46&lt;=A38))</f>
        <v>10</v>
      </c>
      <c r="T38">
        <f>C38*(INDEX(Assumptions!$B$22:$D$22,B38)+12*INDEX(Assumptions!$B$21:$D$21,B38))*Assumptions!$B$35</f>
        <v>50750.7</v>
      </c>
      <c r="U38">
        <f>INDEX(Assumptions!$B$52:$D$52,B38)</f>
        <v>8000</v>
      </c>
    </row>
    <row r="40">
      <c r="A40" t="str">
        <v>Annual summary</v>
      </c>
    </row>
    <row r="41">
      <c r="A41" t="str">
        <v>Year</v>
      </c>
      <c r="B41" t="str">
        <v/>
      </c>
      <c r="C41" t="str">
        <v>New sites</v>
      </c>
      <c r="D41" t="str">
        <v>Churned</v>
      </c>
      <c r="E41" t="str">
        <v>Sites at year end</v>
      </c>
      <c r="F41" t="str">
        <v>Subscription revenue</v>
      </c>
      <c r="G41" t="str">
        <v>Setup revenue</v>
      </c>
      <c r="H41" t="str">
        <v>Total revenue</v>
      </c>
      <c r="I41" t="str">
        <v>ARR exit rate</v>
      </c>
      <c r="J41" t="str">
        <v>Model + hosting</v>
      </c>
      <c r="K41" t="str">
        <v>Onboarding</v>
      </c>
      <c r="L41" t="str">
        <v>Staff</v>
      </c>
      <c r="M41" t="str">
        <v>Sales &amp; marketing</v>
      </c>
      <c r="N41" t="str">
        <v>Overheads</v>
      </c>
      <c r="O41" t="str">
        <v>Total costs</v>
      </c>
      <c r="P41" t="str">
        <v>EBITDA</v>
      </c>
      <c r="Q41" t="str">
        <v>Cumulative EBITDA (end)</v>
      </c>
      <c r="R41" t="str">
        <v>Cash (end)</v>
      </c>
      <c r="S41" t="str">
        <v>Headcount (end)</v>
      </c>
      <c r="T41" t="str">
        <v>Sales commission</v>
      </c>
      <c r="U41" t="str">
        <v>Contractors</v>
      </c>
    </row>
    <row r="42">
      <c r="A42">
        <v>1</v>
      </c>
      <c r="C42">
        <f>SUMIF($B$3:$B$38,A42,C$3:C$38)</f>
        <v>32</v>
      </c>
      <c r="D42">
        <f>SUMIF($B$3:$B$38,A42,D$3:D$38)</f>
        <v>2.08</v>
      </c>
      <c r="E42">
        <f>E14</f>
        <v>29.92</v>
      </c>
      <c r="F42">
        <f>SUMIF($B$3:$B$38,A42,F$3:F$38)</f>
        <v>209044.35</v>
      </c>
      <c r="G42">
        <f>SUMIF($B$3:$B$38,A42,G$3:G$38)</f>
        <v>148000</v>
      </c>
      <c r="H42">
        <f>SUMIF($B$3:$B$38,A42,H$3:H$38)</f>
        <v>357044.35</v>
      </c>
      <c r="I42">
        <f>I14</f>
        <v>445989.86</v>
      </c>
      <c r="J42">
        <f>SUMIF($B$3:$B$38,A42,J$3:J$38)</f>
        <v>51662.54</v>
      </c>
      <c r="K42">
        <f>SUMIF($B$3:$B$38,A42,K$3:K$38)</f>
        <v>112000</v>
      </c>
      <c r="L42">
        <f>SUMIF($B$3:$B$38,A42,L$3:L$38)</f>
        <v>282000</v>
      </c>
      <c r="M42">
        <f>SUMIF($B$3:$B$38,A42,M$3:M$38)</f>
        <v>48000</v>
      </c>
      <c r="N42">
        <f>SUMIF($B$3:$B$38,A42,N$3:N$38)</f>
        <v>36000</v>
      </c>
      <c r="O42">
        <f>SUMIF($B$3:$B$38,A42,O$3:O$38)</f>
        <v>640155.34</v>
      </c>
      <c r="P42">
        <f>SUMIF($B$3:$B$38,A42,P$3:P$38)</f>
        <v>-283110.98</v>
      </c>
      <c r="Q42">
        <f>Q14</f>
        <v>-283110.98</v>
      </c>
      <c r="R42">
        <f>R14</f>
        <v>-283110.98</v>
      </c>
      <c r="S42">
        <f>S14</f>
        <v>3</v>
      </c>
      <c r="T42">
        <f>SUMIF($B$3:$B$38,A42,T$3:T$38)</f>
        <v>62492.8</v>
      </c>
      <c r="U42">
        <f>SUMIF($B$3:$B$38,A42,U$3:U$38)</f>
        <v>48000</v>
      </c>
    </row>
    <row r="43">
      <c r="A43">
        <v>2</v>
      </c>
      <c r="C43">
        <f>SUMIF($B$3:$B$38,A43,C$3:C$38)</f>
        <v>108</v>
      </c>
      <c r="D43">
        <f>SUMIF($B$3:$B$38,A43,D$3:D$38)</f>
        <v>13.44</v>
      </c>
      <c r="E43">
        <f>E26</f>
        <v>124.48</v>
      </c>
      <c r="F43">
        <f>SUMIF($B$3:$B$38,A43,F$3:F$38)</f>
        <v>1505915.16</v>
      </c>
      <c r="G43">
        <f>SUMIF($B$3:$B$38,A43,G$3:G$38)</f>
        <v>454050</v>
      </c>
      <c r="H43">
        <f>SUMIF($B$3:$B$38,A43,H$3:H$38)</f>
        <v>1959965.16</v>
      </c>
      <c r="I43">
        <f>I26</f>
        <v>2270543.07</v>
      </c>
      <c r="J43">
        <f>SUMIF($B$3:$B$38,A43,J$3:J$38)</f>
        <v>216146.73</v>
      </c>
      <c r="K43">
        <f>SUMIF($B$3:$B$38,A43,K$3:K$38)</f>
        <v>378000</v>
      </c>
      <c r="L43">
        <f>SUMIF($B$3:$B$38,A43,L$3:L$38)</f>
        <v>522000</v>
      </c>
      <c r="M43">
        <f>SUMIF($B$3:$B$38,A43,M$3:M$38)</f>
        <v>120000</v>
      </c>
      <c r="N43">
        <f>SUMIF($B$3:$B$38,A43,N$3:N$38)</f>
        <v>60000</v>
      </c>
      <c r="O43">
        <f>SUMIF($B$3:$B$38,A43,O$3:O$38)</f>
        <v>1610543.73</v>
      </c>
      <c r="P43">
        <f>SUMIF($B$3:$B$38,A43,P$3:P$38)</f>
        <v>349421.43</v>
      </c>
      <c r="Q43">
        <f>Q26</f>
        <v>66310.45</v>
      </c>
      <c r="R43">
        <f>R26</f>
        <v>66310.45</v>
      </c>
      <c r="S43">
        <f>S26</f>
        <v>6</v>
      </c>
      <c r="T43">
        <f>SUMIF($B$3:$B$38,A43,T$3:T$38)</f>
        <v>242397</v>
      </c>
      <c r="U43">
        <f>SUMIF($B$3:$B$38,A43,U$3:U$38)</f>
        <v>72000</v>
      </c>
    </row>
    <row r="44">
      <c r="A44">
        <v>3</v>
      </c>
      <c r="C44">
        <f>SUMIF($B$3:$B$38,A44,C$3:C$38)</f>
        <v>264</v>
      </c>
      <c r="D44">
        <f>SUMIF($B$3:$B$38,A44,D$3:D$38)</f>
        <v>41.37</v>
      </c>
      <c r="E44">
        <f>E38</f>
        <v>347.11</v>
      </c>
      <c r="F44">
        <f>SUMIF($B$3:$B$38,A44,F$3:F$38)</f>
        <v>4715067.78</v>
      </c>
      <c r="G44">
        <f>SUMIF($B$3:$B$38,A44,G$3:G$38)</f>
        <v>1079100</v>
      </c>
      <c r="H44">
        <f>SUMIF($B$3:$B$38,A44,H$3:H$38)</f>
        <v>5794167.78</v>
      </c>
      <c r="I44">
        <f>I38</f>
        <v>6588440.53</v>
      </c>
      <c r="J44">
        <f>SUMIF($B$3:$B$38,A44,J$3:J$38)</f>
        <v>614183.69</v>
      </c>
      <c r="K44">
        <f>SUMIF($B$3:$B$38,A44,K$3:K$38)</f>
        <v>924000</v>
      </c>
      <c r="L44">
        <f>SUMIF($B$3:$B$38,A44,L$3:L$38)</f>
        <v>810000</v>
      </c>
      <c r="M44">
        <f>SUMIF($B$3:$B$38,A44,M$3:M$38)</f>
        <v>240000</v>
      </c>
      <c r="N44">
        <f>SUMIF($B$3:$B$38,A44,N$3:N$38)</f>
        <v>96000</v>
      </c>
      <c r="O44">
        <f>SUMIF($B$3:$B$38,A44,O$3:O$38)</f>
        <v>3389192.09</v>
      </c>
      <c r="P44">
        <f>SUMIF($B$3:$B$38,A44,P$3:P$38)</f>
        <v>2404975.69</v>
      </c>
      <c r="Q44">
        <f>Q38</f>
        <v>2471286.14</v>
      </c>
      <c r="R44">
        <f>R38</f>
        <v>2471286.14</v>
      </c>
      <c r="S44">
        <f>S38</f>
        <v>10</v>
      </c>
      <c r="T44">
        <f>SUMIF($B$3:$B$38,A44,T$3:T$38)</f>
        <v>609008.4</v>
      </c>
      <c r="U44">
        <f>SUMIF($B$3:$B$38,A44,U$3:U$38)</f>
        <v>96000</v>
      </c>
    </row>
    <row r="46">
      <c r="A46" t="str">
        <v>Peak funding need (minimum cumulative EBITDA, before any funding)</v>
      </c>
      <c r="Q46">
        <f>MIN(Q3:Q38)</f>
        <v>-337147.71</v>
      </c>
    </row>
    <row r="47">
      <c r="A47" t="str">
        <v>First month with positive EBITDA</v>
      </c>
      <c r="Q47">
        <f>IFERROR(INDEX(A3:A38,MATCH(TRUE,INDEX(P3:P38&gt;0,0),0)),0)</f>
        <v>16</v>
      </c>
    </row>
  </sheetData>
  <ignoredErrors>
    <ignoredError numberStoredAsText="1" sqref="A1:U47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U47"/>
  <sheetViews>
    <sheetView workbookViewId="0"/>
  </sheetViews>
  <cols>
    <col min="1" max="1" width="8.83203125" customWidth="1"/>
    <col min="2" max="2" width="6.83203125" customWidth="1"/>
    <col min="3" max="3" width="16.83203125" customWidth="1"/>
    <col min="4" max="4" width="16.83203125" customWidth="1"/>
    <col min="5" max="5" width="16.83203125" customWidth="1"/>
    <col min="6" max="6" width="16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  <col min="16" max="16" width="16.83203125" customWidth="1"/>
    <col min="17" max="17" width="16.83203125" customWidth="1"/>
    <col min="18" max="18" width="16.83203125" customWidth="1"/>
    <col min="19" max="19" width="16.83203125" customWidth="1"/>
    <col min="20" max="20" width="16.83203125" customWidth="1"/>
    <col min="21" max="21" width="16.83203125" customWidth="1"/>
  </cols>
  <sheetData>
    <row r="1">
      <c r="A1" t="str">
        <v>OmegAi — Bear case, monthly, 36 months. Illustrative, founder assumptions, September 2026. All inputs on the Assumptions sheet.</v>
      </c>
    </row>
    <row r="2">
      <c r="A2" t="str">
        <v>Month</v>
      </c>
      <c r="B2" t="str">
        <v>Year</v>
      </c>
      <c r="C2" t="str">
        <v>New sites</v>
      </c>
      <c r="D2" t="str">
        <v>Churned sites</v>
      </c>
      <c r="E2" t="str">
        <v>Active sites (end)</v>
      </c>
      <c r="F2" t="str">
        <v>Subscription revenue</v>
      </c>
      <c r="G2" t="str">
        <v>Setup revenue</v>
      </c>
      <c r="H2" t="str">
        <v>Total revenue</v>
      </c>
      <c r="I2" t="str">
        <v>ARR (exit rate)</v>
      </c>
      <c r="J2" t="str">
        <v>Model + hosting</v>
      </c>
      <c r="K2" t="str">
        <v>Onboarding cost</v>
      </c>
      <c r="L2" t="str">
        <v>Staff cost</v>
      </c>
      <c r="M2" t="str">
        <v>Sales &amp; marketing</v>
      </c>
      <c r="N2" t="str">
        <v>Overheads</v>
      </c>
      <c r="O2" t="str">
        <v>Total costs</v>
      </c>
      <c r="P2" t="str">
        <v>EBITDA</v>
      </c>
      <c r="Q2" t="str">
        <v>Cumulative EBITDA</v>
      </c>
      <c r="R2" t="str">
        <v>Cash incl. funding</v>
      </c>
      <c r="S2" t="str">
        <v>Headcount</v>
      </c>
      <c r="T2" t="str">
        <v>Sales commission</v>
      </c>
      <c r="U2" t="str">
        <v>Contractors</v>
      </c>
    </row>
    <row r="3">
      <c r="A3">
        <v>1</v>
      </c>
      <c r="B3">
        <f>INT((A3-1)/12)+1</f>
        <v>1</v>
      </c>
      <c r="C3">
        <f>IF(A3&lt;=Assumptions!$C$28,0,INDEX(Assumptions!$C$25:$C$27,B3))</f>
        <v>0</v>
      </c>
      <c r="D3">
        <f>0</f>
        <v>0</v>
      </c>
      <c r="E3">
        <f>C3-D3</f>
        <v>0</v>
      </c>
      <c r="F3">
        <f>E3*INDEX(Assumptions!$B$21:$D$21,B3)</f>
        <v>0</v>
      </c>
      <c r="G3">
        <f>C3*INDEX(Assumptions!$B$22:$D$22,B3)</f>
        <v>0</v>
      </c>
      <c r="H3">
        <f>F3+G3</f>
        <v>0</v>
      </c>
      <c r="I3">
        <f>F3*12</f>
        <v>0</v>
      </c>
      <c r="J3">
        <f>Assumptions!$B$33+E3*Assumptions!$B$32</f>
        <v>1500</v>
      </c>
      <c r="K3">
        <f>C3*Assumptions!$B$34</f>
        <v>0</v>
      </c>
      <c r="L3">
        <f>SUMPRODUCT((Assumptions!$D$37:$D$46&lt;=A3)*Assumptions!$B$37:$B$46)/12*(1+Assumptions!$B$47)</f>
        <v>23500</v>
      </c>
      <c r="M3">
        <f>INDEX(Assumptions!$B$50:$D$50,B3)</f>
        <v>4000</v>
      </c>
      <c r="N3">
        <f>INDEX(Assumptions!$B$51:$D$51,B3)</f>
        <v>3000</v>
      </c>
      <c r="O3">
        <f>J3+K3+L3+M3+N3+T3+U3</f>
        <v>36000</v>
      </c>
      <c r="P3">
        <f>H3-O3</f>
        <v>-36000</v>
      </c>
      <c r="Q3">
        <f>P3</f>
        <v>-36000</v>
      </c>
      <c r="R3">
        <f>Q3+Assumptions!$B$53</f>
        <v>-36000</v>
      </c>
      <c r="S3">
        <f>SUMPRODUCT(--(Assumptions!$D$37:$D$46&lt;=A3))</f>
        <v>3</v>
      </c>
      <c r="T3">
        <f>C3*(INDEX(Assumptions!$B$22:$D$22,B3)+12*INDEX(Assumptions!$B$21:$D$21,B3))*Assumptions!$B$35</f>
        <v>0</v>
      </c>
      <c r="U3">
        <f>INDEX(Assumptions!$B$52:$D$52,B3)</f>
        <v>4000</v>
      </c>
    </row>
    <row r="4">
      <c r="A4">
        <v>2</v>
      </c>
      <c r="B4">
        <f>INT((A4-1)/12)+1</f>
        <v>1</v>
      </c>
      <c r="C4">
        <f>IF(A4&lt;=Assumptions!$C$28,0,INDEX(Assumptions!$C$25:$C$27,B4))</f>
        <v>0</v>
      </c>
      <c r="D4">
        <f>E3*Assumptions!$B$29</f>
        <v>0</v>
      </c>
      <c r="E4">
        <f>E3+C4-D4</f>
        <v>0</v>
      </c>
      <c r="F4">
        <f>E4*INDEX(Assumptions!$B$21:$D$21,B4)</f>
        <v>0</v>
      </c>
      <c r="G4">
        <f>C4*INDEX(Assumptions!$B$22:$D$22,B4)</f>
        <v>0</v>
      </c>
      <c r="H4">
        <f>F4+G4</f>
        <v>0</v>
      </c>
      <c r="I4">
        <f>F4*12</f>
        <v>0</v>
      </c>
      <c r="J4">
        <f>Assumptions!$B$33+E4*Assumptions!$B$32</f>
        <v>1500</v>
      </c>
      <c r="K4">
        <f>C4*Assumptions!$B$34</f>
        <v>0</v>
      </c>
      <c r="L4">
        <f>SUMPRODUCT((Assumptions!$D$37:$D$46&lt;=A4)*Assumptions!$B$37:$B$46)/12*(1+Assumptions!$B$47)</f>
        <v>23500</v>
      </c>
      <c r="M4">
        <f>INDEX(Assumptions!$B$50:$D$50,B4)</f>
        <v>4000</v>
      </c>
      <c r="N4">
        <f>INDEX(Assumptions!$B$51:$D$51,B4)</f>
        <v>3000</v>
      </c>
      <c r="O4">
        <f>J4+K4+L4+M4+N4+T4+U4</f>
        <v>36000</v>
      </c>
      <c r="P4">
        <f>H4-O4</f>
        <v>-36000</v>
      </c>
      <c r="Q4">
        <f>Q3+P4</f>
        <v>-72000</v>
      </c>
      <c r="R4">
        <f>Q4+Assumptions!$B$53</f>
        <v>-72000</v>
      </c>
      <c r="S4">
        <f>SUMPRODUCT(--(Assumptions!$D$37:$D$46&lt;=A4))</f>
        <v>3</v>
      </c>
      <c r="T4">
        <f>C4*(INDEX(Assumptions!$B$22:$D$22,B4)+12*INDEX(Assumptions!$B$21:$D$21,B4))*Assumptions!$B$35</f>
        <v>0</v>
      </c>
      <c r="U4">
        <f>INDEX(Assumptions!$B$52:$D$52,B4)</f>
        <v>4000</v>
      </c>
    </row>
    <row r="5">
      <c r="A5">
        <v>3</v>
      </c>
      <c r="B5">
        <f>INT((A5-1)/12)+1</f>
        <v>1</v>
      </c>
      <c r="C5">
        <f>IF(A5&lt;=Assumptions!$C$28,0,INDEX(Assumptions!$C$25:$C$27,B5))</f>
        <v>0</v>
      </c>
      <c r="D5">
        <f>E4*Assumptions!$B$29</f>
        <v>0</v>
      </c>
      <c r="E5">
        <f>E4+C5-D5</f>
        <v>0</v>
      </c>
      <c r="F5">
        <f>E5*INDEX(Assumptions!$B$21:$D$21,B5)</f>
        <v>0</v>
      </c>
      <c r="G5">
        <f>C5*INDEX(Assumptions!$B$22:$D$22,B5)</f>
        <v>0</v>
      </c>
      <c r="H5">
        <f>F5+G5</f>
        <v>0</v>
      </c>
      <c r="I5">
        <f>F5*12</f>
        <v>0</v>
      </c>
      <c r="J5">
        <f>Assumptions!$B$33+E5*Assumptions!$B$32</f>
        <v>1500</v>
      </c>
      <c r="K5">
        <f>C5*Assumptions!$B$34</f>
        <v>0</v>
      </c>
      <c r="L5">
        <f>SUMPRODUCT((Assumptions!$D$37:$D$46&lt;=A5)*Assumptions!$B$37:$B$46)/12*(1+Assumptions!$B$47)</f>
        <v>23500</v>
      </c>
      <c r="M5">
        <f>INDEX(Assumptions!$B$50:$D$50,B5)</f>
        <v>4000</v>
      </c>
      <c r="N5">
        <f>INDEX(Assumptions!$B$51:$D$51,B5)</f>
        <v>3000</v>
      </c>
      <c r="O5">
        <f>J5+K5+L5+M5+N5+T5+U5</f>
        <v>36000</v>
      </c>
      <c r="P5">
        <f>H5-O5</f>
        <v>-36000</v>
      </c>
      <c r="Q5">
        <f>Q4+P5</f>
        <v>-108000</v>
      </c>
      <c r="R5">
        <f>Q5+Assumptions!$B$53</f>
        <v>-108000</v>
      </c>
      <c r="S5">
        <f>SUMPRODUCT(--(Assumptions!$D$37:$D$46&lt;=A5))</f>
        <v>3</v>
      </c>
      <c r="T5">
        <f>C5*(INDEX(Assumptions!$B$22:$D$22,B5)+12*INDEX(Assumptions!$B$21:$D$21,B5))*Assumptions!$B$35</f>
        <v>0</v>
      </c>
      <c r="U5">
        <f>INDEX(Assumptions!$B$52:$D$52,B5)</f>
        <v>4000</v>
      </c>
    </row>
    <row r="6">
      <c r="A6">
        <v>4</v>
      </c>
      <c r="B6">
        <f>INT((A6-1)/12)+1</f>
        <v>1</v>
      </c>
      <c r="C6">
        <f>IF(A6&lt;=Assumptions!$C$28,0,INDEX(Assumptions!$C$25:$C$27,B6))</f>
        <v>1.6</v>
      </c>
      <c r="D6">
        <f>E5*Assumptions!$B$29</f>
        <v>0</v>
      </c>
      <c r="E6">
        <f>E5+C6-D6</f>
        <v>1.6</v>
      </c>
      <c r="F6">
        <f>E6*INDEX(Assumptions!$B$21:$D$21,B6)</f>
        <v>1987.2</v>
      </c>
      <c r="G6">
        <f>C6*INDEX(Assumptions!$B$22:$D$22,B6)</f>
        <v>7400</v>
      </c>
      <c r="H6">
        <f>F6+G6</f>
        <v>9387.2</v>
      </c>
      <c r="I6">
        <f>F6*12</f>
        <v>23846.4</v>
      </c>
      <c r="J6">
        <f>Assumptions!$B$33+E6*Assumptions!$B$32</f>
        <v>1820</v>
      </c>
      <c r="K6">
        <f>C6*Assumptions!$B$34</f>
        <v>5600</v>
      </c>
      <c r="L6">
        <f>SUMPRODUCT((Assumptions!$D$37:$D$46&lt;=A6)*Assumptions!$B$37:$B$46)/12*(1+Assumptions!$B$47)</f>
        <v>23500</v>
      </c>
      <c r="M6">
        <f>INDEX(Assumptions!$B$50:$D$50,B6)</f>
        <v>4000</v>
      </c>
      <c r="N6">
        <f>INDEX(Assumptions!$B$51:$D$51,B6)</f>
        <v>3000</v>
      </c>
      <c r="O6">
        <f>J6+K6+L6+M6+N6+T6+U6</f>
        <v>45044.64</v>
      </c>
      <c r="P6">
        <f>H6-O6</f>
        <v>-35657.44</v>
      </c>
      <c r="Q6">
        <f>Q5+P6</f>
        <v>-143657.44</v>
      </c>
      <c r="R6">
        <f>Q6+Assumptions!$B$53</f>
        <v>-143657.44</v>
      </c>
      <c r="S6">
        <f>SUMPRODUCT(--(Assumptions!$D$37:$D$46&lt;=A6))</f>
        <v>3</v>
      </c>
      <c r="T6">
        <f>C6*(INDEX(Assumptions!$B$22:$D$22,B6)+12*INDEX(Assumptions!$B$21:$D$21,B6))*Assumptions!$B$35</f>
        <v>3124.64</v>
      </c>
      <c r="U6">
        <f>INDEX(Assumptions!$B$52:$D$52,B6)</f>
        <v>4000</v>
      </c>
    </row>
    <row r="7">
      <c r="A7">
        <v>5</v>
      </c>
      <c r="B7">
        <f>INT((A7-1)/12)+1</f>
        <v>1</v>
      </c>
      <c r="C7">
        <f>IF(A7&lt;=Assumptions!$C$28,0,INDEX(Assumptions!$C$25:$C$27,B7))</f>
        <v>1.6</v>
      </c>
      <c r="D7">
        <f>E6*Assumptions!$B$29</f>
        <v>0.02</v>
      </c>
      <c r="E7">
        <f>E6+C7-D7</f>
        <v>3.18</v>
      </c>
      <c r="F7">
        <f>E7*INDEX(Assumptions!$B$21:$D$21,B7)</f>
        <v>3944.59</v>
      </c>
      <c r="G7">
        <f>C7*INDEX(Assumptions!$B$22:$D$22,B7)</f>
        <v>7400</v>
      </c>
      <c r="H7">
        <f>F7+G7</f>
        <v>11344.59</v>
      </c>
      <c r="I7">
        <f>F7*12</f>
        <v>47335.1</v>
      </c>
      <c r="J7">
        <f>Assumptions!$B$33+E7*Assumptions!$B$32</f>
        <v>2135.2</v>
      </c>
      <c r="K7">
        <f>C7*Assumptions!$B$34</f>
        <v>5600</v>
      </c>
      <c r="L7">
        <f>SUMPRODUCT((Assumptions!$D$37:$D$46&lt;=A7)*Assumptions!$B$37:$B$46)/12*(1+Assumptions!$B$47)</f>
        <v>23500</v>
      </c>
      <c r="M7">
        <f>INDEX(Assumptions!$B$50:$D$50,B7)</f>
        <v>4000</v>
      </c>
      <c r="N7">
        <f>INDEX(Assumptions!$B$51:$D$51,B7)</f>
        <v>3000</v>
      </c>
      <c r="O7">
        <f>J7+K7+L7+M7+N7+T7+U7</f>
        <v>45359.84</v>
      </c>
      <c r="P7">
        <f>H7-O7</f>
        <v>-34015.25</v>
      </c>
      <c r="Q7">
        <f>Q6+P7</f>
        <v>-177672.69</v>
      </c>
      <c r="R7">
        <f>Q7+Assumptions!$B$53</f>
        <v>-177672.69</v>
      </c>
      <c r="S7">
        <f>SUMPRODUCT(--(Assumptions!$D$37:$D$46&lt;=A7))</f>
        <v>3</v>
      </c>
      <c r="T7">
        <f>C7*(INDEX(Assumptions!$B$22:$D$22,B7)+12*INDEX(Assumptions!$B$21:$D$21,B7))*Assumptions!$B$35</f>
        <v>3124.64</v>
      </c>
      <c r="U7">
        <f>INDEX(Assumptions!$B$52:$D$52,B7)</f>
        <v>4000</v>
      </c>
    </row>
    <row r="8">
      <c r="A8">
        <v>6</v>
      </c>
      <c r="B8">
        <f>INT((A8-1)/12)+1</f>
        <v>1</v>
      </c>
      <c r="C8">
        <f>IF(A8&lt;=Assumptions!$C$28,0,INDEX(Assumptions!$C$25:$C$27,B8))</f>
        <v>1.6</v>
      </c>
      <c r="D8">
        <f>E7*Assumptions!$B$29</f>
        <v>0.05</v>
      </c>
      <c r="E8">
        <f>E7+C8-D8</f>
        <v>4.73</v>
      </c>
      <c r="F8">
        <f>E8*INDEX(Assumptions!$B$21:$D$21,B8)</f>
        <v>5872.62</v>
      </c>
      <c r="G8">
        <f>C8*INDEX(Assumptions!$B$22:$D$22,B8)</f>
        <v>7400</v>
      </c>
      <c r="H8">
        <f>F8+G8</f>
        <v>13272.62</v>
      </c>
      <c r="I8">
        <f>F8*12</f>
        <v>70471.48</v>
      </c>
      <c r="J8">
        <f>Assumptions!$B$33+E8*Assumptions!$B$32</f>
        <v>2445.67</v>
      </c>
      <c r="K8">
        <f>C8*Assumptions!$B$34</f>
        <v>5600</v>
      </c>
      <c r="L8">
        <f>SUMPRODUCT((Assumptions!$D$37:$D$46&lt;=A8)*Assumptions!$B$37:$B$46)/12*(1+Assumptions!$B$47)</f>
        <v>23500</v>
      </c>
      <c r="M8">
        <f>INDEX(Assumptions!$B$50:$D$50,B8)</f>
        <v>4000</v>
      </c>
      <c r="N8">
        <f>INDEX(Assumptions!$B$51:$D$51,B8)</f>
        <v>3000</v>
      </c>
      <c r="O8">
        <f>J8+K8+L8+M8+N8+T8+U8</f>
        <v>45670.31</v>
      </c>
      <c r="P8">
        <f>H8-O8</f>
        <v>-32397.69</v>
      </c>
      <c r="Q8">
        <f>Q7+P8</f>
        <v>-210070.38</v>
      </c>
      <c r="R8">
        <f>Q8+Assumptions!$B$53</f>
        <v>-210070.38</v>
      </c>
      <c r="S8">
        <f>SUMPRODUCT(--(Assumptions!$D$37:$D$46&lt;=A8))</f>
        <v>3</v>
      </c>
      <c r="T8">
        <f>C8*(INDEX(Assumptions!$B$22:$D$22,B8)+12*INDEX(Assumptions!$B$21:$D$21,B8))*Assumptions!$B$35</f>
        <v>3124.64</v>
      </c>
      <c r="U8">
        <f>INDEX(Assumptions!$B$52:$D$52,B8)</f>
        <v>4000</v>
      </c>
    </row>
    <row r="9">
      <c r="A9">
        <v>7</v>
      </c>
      <c r="B9">
        <f>INT((A9-1)/12)+1</f>
        <v>1</v>
      </c>
      <c r="C9">
        <f>IF(A9&lt;=Assumptions!$C$28,0,INDEX(Assumptions!$C$25:$C$27,B9))</f>
        <v>1.6</v>
      </c>
      <c r="D9">
        <f>E8*Assumptions!$B$29</f>
        <v>0.07</v>
      </c>
      <c r="E9">
        <f>E8+C9-D9</f>
        <v>6.26</v>
      </c>
      <c r="F9">
        <f>E9*INDEX(Assumptions!$B$21:$D$21,B9)</f>
        <v>7771.73</v>
      </c>
      <c r="G9">
        <f>C9*INDEX(Assumptions!$B$22:$D$22,B9)</f>
        <v>7400</v>
      </c>
      <c r="H9">
        <f>F9+G9</f>
        <v>15171.73</v>
      </c>
      <c r="I9">
        <f>F9*12</f>
        <v>93260.81</v>
      </c>
      <c r="J9">
        <f>Assumptions!$B$33+E9*Assumptions!$B$32</f>
        <v>2751.49</v>
      </c>
      <c r="K9">
        <f>C9*Assumptions!$B$34</f>
        <v>5600</v>
      </c>
      <c r="L9">
        <f>SUMPRODUCT((Assumptions!$D$37:$D$46&lt;=A9)*Assumptions!$B$37:$B$46)/12*(1+Assumptions!$B$47)</f>
        <v>23500</v>
      </c>
      <c r="M9">
        <f>INDEX(Assumptions!$B$50:$D$50,B9)</f>
        <v>4000</v>
      </c>
      <c r="N9">
        <f>INDEX(Assumptions!$B$51:$D$51,B9)</f>
        <v>3000</v>
      </c>
      <c r="O9">
        <f>J9+K9+L9+M9+N9+T9+U9</f>
        <v>45976.13</v>
      </c>
      <c r="P9">
        <f>H9-O9</f>
        <v>-30804.39</v>
      </c>
      <c r="Q9">
        <f>Q8+P9</f>
        <v>-240874.77</v>
      </c>
      <c r="R9">
        <f>Q9+Assumptions!$B$53</f>
        <v>-240874.77</v>
      </c>
      <c r="S9">
        <f>SUMPRODUCT(--(Assumptions!$D$37:$D$46&lt;=A9))</f>
        <v>3</v>
      </c>
      <c r="T9">
        <f>C9*(INDEX(Assumptions!$B$22:$D$22,B9)+12*INDEX(Assumptions!$B$21:$D$21,B9))*Assumptions!$B$35</f>
        <v>3124.64</v>
      </c>
      <c r="U9">
        <f>INDEX(Assumptions!$B$52:$D$52,B9)</f>
        <v>4000</v>
      </c>
    </row>
    <row r="10">
      <c r="A10">
        <v>8</v>
      </c>
      <c r="B10">
        <f>INT((A10-1)/12)+1</f>
        <v>1</v>
      </c>
      <c r="C10">
        <f>IF(A10&lt;=Assumptions!$C$28,0,INDEX(Assumptions!$C$25:$C$27,B10))</f>
        <v>1.6</v>
      </c>
      <c r="D10">
        <f>E9*Assumptions!$B$29</f>
        <v>0.09</v>
      </c>
      <c r="E10">
        <f>E9+C10-D10</f>
        <v>7.76</v>
      </c>
      <c r="F10">
        <f>E10*INDEX(Assumptions!$B$21:$D$21,B10)</f>
        <v>9642.36</v>
      </c>
      <c r="G10">
        <f>C10*INDEX(Assumptions!$B$22:$D$22,B10)</f>
        <v>7400</v>
      </c>
      <c r="H10">
        <f>F10+G10</f>
        <v>17042.36</v>
      </c>
      <c r="I10">
        <f>F10*12</f>
        <v>115708.29</v>
      </c>
      <c r="J10">
        <f>Assumptions!$B$33+E10*Assumptions!$B$32</f>
        <v>3052.71</v>
      </c>
      <c r="K10">
        <f>C10*Assumptions!$B$34</f>
        <v>5600</v>
      </c>
      <c r="L10">
        <f>SUMPRODUCT((Assumptions!$D$37:$D$46&lt;=A10)*Assumptions!$B$37:$B$46)/12*(1+Assumptions!$B$47)</f>
        <v>23500</v>
      </c>
      <c r="M10">
        <f>INDEX(Assumptions!$B$50:$D$50,B10)</f>
        <v>4000</v>
      </c>
      <c r="N10">
        <f>INDEX(Assumptions!$B$51:$D$51,B10)</f>
        <v>3000</v>
      </c>
      <c r="O10">
        <f>J10+K10+L10+M10+N10+T10+U10</f>
        <v>46277.35</v>
      </c>
      <c r="P10">
        <f>H10-O10</f>
        <v>-29235</v>
      </c>
      <c r="Q10">
        <f>Q9+P10</f>
        <v>-270109.77</v>
      </c>
      <c r="R10">
        <f>Q10+Assumptions!$B$53</f>
        <v>-270109.77</v>
      </c>
      <c r="S10">
        <f>SUMPRODUCT(--(Assumptions!$D$37:$D$46&lt;=A10))</f>
        <v>3</v>
      </c>
      <c r="T10">
        <f>C10*(INDEX(Assumptions!$B$22:$D$22,B10)+12*INDEX(Assumptions!$B$21:$D$21,B10))*Assumptions!$B$35</f>
        <v>3124.64</v>
      </c>
      <c r="U10">
        <f>INDEX(Assumptions!$B$52:$D$52,B10)</f>
        <v>4000</v>
      </c>
    </row>
    <row r="11">
      <c r="A11">
        <v>9</v>
      </c>
      <c r="B11">
        <f>INT((A11-1)/12)+1</f>
        <v>1</v>
      </c>
      <c r="C11">
        <f>IF(A11&lt;=Assumptions!$C$28,0,INDEX(Assumptions!$C$25:$C$27,B11))</f>
        <v>1.6</v>
      </c>
      <c r="D11">
        <f>E10*Assumptions!$B$29</f>
        <v>0.12</v>
      </c>
      <c r="E11">
        <f>E10+C11-D11</f>
        <v>9.25</v>
      </c>
      <c r="F11">
        <f>E11*INDEX(Assumptions!$B$21:$D$21,B11)</f>
        <v>11484.92</v>
      </c>
      <c r="G11">
        <f>C11*INDEX(Assumptions!$B$22:$D$22,B11)</f>
        <v>7400</v>
      </c>
      <c r="H11">
        <f>F11+G11</f>
        <v>18884.92</v>
      </c>
      <c r="I11">
        <f>F11*12</f>
        <v>137819.07</v>
      </c>
      <c r="J11">
        <f>Assumptions!$B$33+E11*Assumptions!$B$32</f>
        <v>3349.42</v>
      </c>
      <c r="K11">
        <f>C11*Assumptions!$B$34</f>
        <v>5600</v>
      </c>
      <c r="L11">
        <f>SUMPRODUCT((Assumptions!$D$37:$D$46&lt;=A11)*Assumptions!$B$37:$B$46)/12*(1+Assumptions!$B$47)</f>
        <v>23500</v>
      </c>
      <c r="M11">
        <f>INDEX(Assumptions!$B$50:$D$50,B11)</f>
        <v>4000</v>
      </c>
      <c r="N11">
        <f>INDEX(Assumptions!$B$51:$D$51,B11)</f>
        <v>3000</v>
      </c>
      <c r="O11">
        <f>J11+K11+L11+M11+N11+T11+U11</f>
        <v>46574.06</v>
      </c>
      <c r="P11">
        <f>H11-O11</f>
        <v>-27689.14</v>
      </c>
      <c r="Q11">
        <f>Q10+P11</f>
        <v>-297798.91</v>
      </c>
      <c r="R11">
        <f>Q11+Assumptions!$B$53</f>
        <v>-297798.91</v>
      </c>
      <c r="S11">
        <f>SUMPRODUCT(--(Assumptions!$D$37:$D$46&lt;=A11))</f>
        <v>3</v>
      </c>
      <c r="T11">
        <f>C11*(INDEX(Assumptions!$B$22:$D$22,B11)+12*INDEX(Assumptions!$B$21:$D$21,B11))*Assumptions!$B$35</f>
        <v>3124.64</v>
      </c>
      <c r="U11">
        <f>INDEX(Assumptions!$B$52:$D$52,B11)</f>
        <v>4000</v>
      </c>
    </row>
    <row r="12">
      <c r="A12">
        <v>10</v>
      </c>
      <c r="B12">
        <f>INT((A12-1)/12)+1</f>
        <v>1</v>
      </c>
      <c r="C12">
        <f>IF(A12&lt;=Assumptions!$C$28,0,INDEX(Assumptions!$C$25:$C$27,B12))</f>
        <v>1.6</v>
      </c>
      <c r="D12">
        <f>E11*Assumptions!$B$29</f>
        <v>0.14</v>
      </c>
      <c r="E12">
        <f>E11+C12-D12</f>
        <v>10.71</v>
      </c>
      <c r="F12">
        <f>E12*INDEX(Assumptions!$B$21:$D$21,B12)</f>
        <v>13299.85</v>
      </c>
      <c r="G12">
        <f>C12*INDEX(Assumptions!$B$22:$D$22,B12)</f>
        <v>7400</v>
      </c>
      <c r="H12">
        <f>F12+G12</f>
        <v>20699.85</v>
      </c>
      <c r="I12">
        <f>F12*12</f>
        <v>159598.18</v>
      </c>
      <c r="J12">
        <f>Assumptions!$B$33+E12*Assumptions!$B$32</f>
        <v>3641.68</v>
      </c>
      <c r="K12">
        <f>C12*Assumptions!$B$34</f>
        <v>5600</v>
      </c>
      <c r="L12">
        <f>SUMPRODUCT((Assumptions!$D$37:$D$46&lt;=A12)*Assumptions!$B$37:$B$46)/12*(1+Assumptions!$B$47)</f>
        <v>23500</v>
      </c>
      <c r="M12">
        <f>INDEX(Assumptions!$B$50:$D$50,B12)</f>
        <v>4000</v>
      </c>
      <c r="N12">
        <f>INDEX(Assumptions!$B$51:$D$51,B12)</f>
        <v>3000</v>
      </c>
      <c r="O12">
        <f>J12+K12+L12+M12+N12+T12+U12</f>
        <v>46866.32</v>
      </c>
      <c r="P12">
        <f>H12-O12</f>
        <v>-26166.47</v>
      </c>
      <c r="Q12">
        <f>Q11+P12</f>
        <v>-323965.38</v>
      </c>
      <c r="R12">
        <f>Q12+Assumptions!$B$53</f>
        <v>-323965.38</v>
      </c>
      <c r="S12">
        <f>SUMPRODUCT(--(Assumptions!$D$37:$D$46&lt;=A12))</f>
        <v>3</v>
      </c>
      <c r="T12">
        <f>C12*(INDEX(Assumptions!$B$22:$D$22,B12)+12*INDEX(Assumptions!$B$21:$D$21,B12))*Assumptions!$B$35</f>
        <v>3124.64</v>
      </c>
      <c r="U12">
        <f>INDEX(Assumptions!$B$52:$D$52,B12)</f>
        <v>4000</v>
      </c>
    </row>
    <row r="13">
      <c r="A13">
        <v>11</v>
      </c>
      <c r="B13">
        <f>INT((A13-1)/12)+1</f>
        <v>1</v>
      </c>
      <c r="C13">
        <f>IF(A13&lt;=Assumptions!$C$28,0,INDEX(Assumptions!$C$25:$C$27,B13))</f>
        <v>1.6</v>
      </c>
      <c r="D13">
        <f>E12*Assumptions!$B$29</f>
        <v>0.16</v>
      </c>
      <c r="E13">
        <f>E12+C13-D13</f>
        <v>12.15</v>
      </c>
      <c r="F13">
        <f>E13*INDEX(Assumptions!$B$21:$D$21,B13)</f>
        <v>15087.55</v>
      </c>
      <c r="G13">
        <f>C13*INDEX(Assumptions!$B$22:$D$22,B13)</f>
        <v>7400</v>
      </c>
      <c r="H13">
        <f>F13+G13</f>
        <v>22487.55</v>
      </c>
      <c r="I13">
        <f>F13*12</f>
        <v>181050.61</v>
      </c>
      <c r="J13">
        <f>Assumptions!$B$33+E13*Assumptions!$B$32</f>
        <v>3929.56</v>
      </c>
      <c r="K13">
        <f>C13*Assumptions!$B$34</f>
        <v>5600</v>
      </c>
      <c r="L13">
        <f>SUMPRODUCT((Assumptions!$D$37:$D$46&lt;=A13)*Assumptions!$B$37:$B$46)/12*(1+Assumptions!$B$47)</f>
        <v>23500</v>
      </c>
      <c r="M13">
        <f>INDEX(Assumptions!$B$50:$D$50,B13)</f>
        <v>4000</v>
      </c>
      <c r="N13">
        <f>INDEX(Assumptions!$B$51:$D$51,B13)</f>
        <v>3000</v>
      </c>
      <c r="O13">
        <f>J13+K13+L13+M13+N13+T13+U13</f>
        <v>47154.2</v>
      </c>
      <c r="P13">
        <f>H13-O13</f>
        <v>-24666.65</v>
      </c>
      <c r="Q13">
        <f>Q12+P13</f>
        <v>-348632.03</v>
      </c>
      <c r="R13">
        <f>Q13+Assumptions!$B$53</f>
        <v>-348632.03</v>
      </c>
      <c r="S13">
        <f>SUMPRODUCT(--(Assumptions!$D$37:$D$46&lt;=A13))</f>
        <v>3</v>
      </c>
      <c r="T13">
        <f>C13*(INDEX(Assumptions!$B$22:$D$22,B13)+12*INDEX(Assumptions!$B$21:$D$21,B13))*Assumptions!$B$35</f>
        <v>3124.64</v>
      </c>
      <c r="U13">
        <f>INDEX(Assumptions!$B$52:$D$52,B13)</f>
        <v>4000</v>
      </c>
    </row>
    <row r="14">
      <c r="A14">
        <v>12</v>
      </c>
      <c r="B14">
        <f>INT((A14-1)/12)+1</f>
        <v>1</v>
      </c>
      <c r="C14">
        <f>IF(A14&lt;=Assumptions!$C$28,0,INDEX(Assumptions!$C$25:$C$27,B14))</f>
        <v>1.6</v>
      </c>
      <c r="D14">
        <f>E13*Assumptions!$B$29</f>
        <v>0.18</v>
      </c>
      <c r="E14">
        <f>E13+C14-D14</f>
        <v>13.57</v>
      </c>
      <c r="F14">
        <f>E14*INDEX(Assumptions!$B$21:$D$21,B14)</f>
        <v>16848.44</v>
      </c>
      <c r="G14">
        <f>C14*INDEX(Assumptions!$B$22:$D$22,B14)</f>
        <v>7400</v>
      </c>
      <c r="H14">
        <f>F14+G14</f>
        <v>24248.44</v>
      </c>
      <c r="I14">
        <f>F14*12</f>
        <v>202181.25</v>
      </c>
      <c r="J14">
        <f>Assumptions!$B$33+E14*Assumptions!$B$32</f>
        <v>4213.11</v>
      </c>
      <c r="K14">
        <f>C14*Assumptions!$B$34</f>
        <v>5600</v>
      </c>
      <c r="L14">
        <f>SUMPRODUCT((Assumptions!$D$37:$D$46&lt;=A14)*Assumptions!$B$37:$B$46)/12*(1+Assumptions!$B$47)</f>
        <v>23500</v>
      </c>
      <c r="M14">
        <f>INDEX(Assumptions!$B$50:$D$50,B14)</f>
        <v>4000</v>
      </c>
      <c r="N14">
        <f>INDEX(Assumptions!$B$51:$D$51,B14)</f>
        <v>3000</v>
      </c>
      <c r="O14">
        <f>J14+K14+L14+M14+N14+T14+U14</f>
        <v>47437.75</v>
      </c>
      <c r="P14">
        <f>H14-O14</f>
        <v>-23189.32</v>
      </c>
      <c r="Q14">
        <f>Q13+P14</f>
        <v>-371821.35</v>
      </c>
      <c r="R14">
        <f>Q14+Assumptions!$B$53</f>
        <v>-371821.35</v>
      </c>
      <c r="S14">
        <f>SUMPRODUCT(--(Assumptions!$D$37:$D$46&lt;=A14))</f>
        <v>3</v>
      </c>
      <c r="T14">
        <f>C14*(INDEX(Assumptions!$B$22:$D$22,B14)+12*INDEX(Assumptions!$B$21:$D$21,B14))*Assumptions!$B$35</f>
        <v>3124.64</v>
      </c>
      <c r="U14">
        <f>INDEX(Assumptions!$B$52:$D$52,B14)</f>
        <v>4000</v>
      </c>
    </row>
    <row r="15">
      <c r="A15">
        <v>13</v>
      </c>
      <c r="B15">
        <f>INT((A15-1)/12)+1</f>
        <v>2</v>
      </c>
      <c r="C15">
        <f>IF(A15&lt;=Assumptions!$C$28,0,INDEX(Assumptions!$C$25:$C$27,B15))</f>
        <v>4.5</v>
      </c>
      <c r="D15">
        <f>E14*Assumptions!$B$29</f>
        <v>0.2</v>
      </c>
      <c r="E15">
        <f>E14+C15-D15</f>
        <v>17.86</v>
      </c>
      <c r="F15">
        <f>E15*INDEX(Assumptions!$B$21:$D$21,B15)</f>
        <v>27150.37</v>
      </c>
      <c r="G15">
        <f>C15*INDEX(Assumptions!$B$22:$D$22,B15)</f>
        <v>18918.75</v>
      </c>
      <c r="H15">
        <f>F15+G15</f>
        <v>46069.12</v>
      </c>
      <c r="I15">
        <f>F15*12</f>
        <v>325804.45</v>
      </c>
      <c r="J15">
        <f>Assumptions!$B$33+E15*Assumptions!$B$32</f>
        <v>5072.42</v>
      </c>
      <c r="K15">
        <f>C15*Assumptions!$B$34</f>
        <v>15750</v>
      </c>
      <c r="L15">
        <f>SUMPRODUCT((Assumptions!$D$37:$D$46&lt;=A15)*Assumptions!$B$37:$B$46)/12*(1+Assumptions!$B$47)</f>
        <v>23500</v>
      </c>
      <c r="M15">
        <f>INDEX(Assumptions!$B$50:$D$50,B15)</f>
        <v>10000</v>
      </c>
      <c r="N15">
        <f>INDEX(Assumptions!$B$51:$D$51,B15)</f>
        <v>5000</v>
      </c>
      <c r="O15">
        <f>J15+K15+L15+M15+N15+T15+U15</f>
        <v>75422.29</v>
      </c>
      <c r="P15">
        <f>H15-O15</f>
        <v>-29353.17</v>
      </c>
      <c r="Q15">
        <f>Q14+P15</f>
        <v>-401174.52</v>
      </c>
      <c r="R15">
        <f>Q15+Assumptions!$B$53</f>
        <v>-401174.52</v>
      </c>
      <c r="S15">
        <f>SUMPRODUCT(--(Assumptions!$D$37:$D$46&lt;=A15))</f>
        <v>3</v>
      </c>
      <c r="T15">
        <f>C15*(INDEX(Assumptions!$B$22:$D$22,B15)+12*INDEX(Assumptions!$B$21:$D$21,B15))*Assumptions!$B$35</f>
        <v>10099.88</v>
      </c>
      <c r="U15">
        <f>INDEX(Assumptions!$B$52:$D$52,B15)</f>
        <v>6000</v>
      </c>
    </row>
    <row r="16">
      <c r="A16">
        <v>14</v>
      </c>
      <c r="B16">
        <f>INT((A16-1)/12)+1</f>
        <v>2</v>
      </c>
      <c r="C16">
        <f>IF(A16&lt;=Assumptions!$C$28,0,INDEX(Assumptions!$C$25:$C$27,B16))</f>
        <v>4.5</v>
      </c>
      <c r="D16">
        <f>E15*Assumptions!$B$29</f>
        <v>0.27</v>
      </c>
      <c r="E16">
        <f>E15+C16-D16</f>
        <v>22.09</v>
      </c>
      <c r="F16">
        <f>E16*INDEX(Assumptions!$B$21:$D$21,B16)</f>
        <v>33583.12</v>
      </c>
      <c r="G16">
        <f>C16*INDEX(Assumptions!$B$22:$D$22,B16)</f>
        <v>18918.75</v>
      </c>
      <c r="H16">
        <f>F16+G16</f>
        <v>52501.87</v>
      </c>
      <c r="I16">
        <f>F16*12</f>
        <v>402997.38</v>
      </c>
      <c r="J16">
        <f>Assumptions!$B$33+E16*Assumptions!$B$32</f>
        <v>5918.83</v>
      </c>
      <c r="K16">
        <f>C16*Assumptions!$B$34</f>
        <v>15750</v>
      </c>
      <c r="L16">
        <f>SUMPRODUCT((Assumptions!$D$37:$D$46&lt;=A16)*Assumptions!$B$37:$B$46)/12*(1+Assumptions!$B$47)</f>
        <v>23500</v>
      </c>
      <c r="M16">
        <f>INDEX(Assumptions!$B$50:$D$50,B16)</f>
        <v>10000</v>
      </c>
      <c r="N16">
        <f>INDEX(Assumptions!$B$51:$D$51,B16)</f>
        <v>5000</v>
      </c>
      <c r="O16">
        <f>J16+K16+L16+M16+N16+T16+U16</f>
        <v>76268.71</v>
      </c>
      <c r="P16">
        <f>H16-O16</f>
        <v>-23766.84</v>
      </c>
      <c r="Q16">
        <f>Q15+P16</f>
        <v>-424941.36</v>
      </c>
      <c r="R16">
        <f>Q16+Assumptions!$B$53</f>
        <v>-424941.36</v>
      </c>
      <c r="S16">
        <f>SUMPRODUCT(--(Assumptions!$D$37:$D$46&lt;=A16))</f>
        <v>3</v>
      </c>
      <c r="T16">
        <f>C16*(INDEX(Assumptions!$B$22:$D$22,B16)+12*INDEX(Assumptions!$B$21:$D$21,B16))*Assumptions!$B$35</f>
        <v>10099.88</v>
      </c>
      <c r="U16">
        <f>INDEX(Assumptions!$B$52:$D$52,B16)</f>
        <v>6000</v>
      </c>
    </row>
    <row r="17">
      <c r="A17">
        <v>15</v>
      </c>
      <c r="B17">
        <f>INT((A17-1)/12)+1</f>
        <v>2</v>
      </c>
      <c r="C17">
        <f>IF(A17&lt;=Assumptions!$C$28,0,INDEX(Assumptions!$C$25:$C$27,B17))</f>
        <v>4.5</v>
      </c>
      <c r="D17">
        <f>E16*Assumptions!$B$29</f>
        <v>0.33</v>
      </c>
      <c r="E17">
        <f>E16+C17-D17</f>
        <v>26.26</v>
      </c>
      <c r="F17">
        <f>E17*INDEX(Assumptions!$B$21:$D$21,B17)</f>
        <v>39919.37</v>
      </c>
      <c r="G17">
        <f>C17*INDEX(Assumptions!$B$22:$D$22,B17)</f>
        <v>18918.75</v>
      </c>
      <c r="H17">
        <f>F17+G17</f>
        <v>58838.12</v>
      </c>
      <c r="I17">
        <f>F17*12</f>
        <v>479032.42</v>
      </c>
      <c r="J17">
        <f>Assumptions!$B$33+E17*Assumptions!$B$32</f>
        <v>6752.55</v>
      </c>
      <c r="K17">
        <f>C17*Assumptions!$B$34</f>
        <v>15750</v>
      </c>
      <c r="L17">
        <f>SUMPRODUCT((Assumptions!$D$37:$D$46&lt;=A17)*Assumptions!$B$37:$B$46)/12*(1+Assumptions!$B$47)</f>
        <v>23500</v>
      </c>
      <c r="M17">
        <f>INDEX(Assumptions!$B$50:$D$50,B17)</f>
        <v>10000</v>
      </c>
      <c r="N17">
        <f>INDEX(Assumptions!$B$51:$D$51,B17)</f>
        <v>5000</v>
      </c>
      <c r="O17">
        <f>J17+K17+L17+M17+N17+T17+U17</f>
        <v>77102.42</v>
      </c>
      <c r="P17">
        <f>H17-O17</f>
        <v>-18264.3</v>
      </c>
      <c r="Q17">
        <f>Q16+P17</f>
        <v>-443205.66</v>
      </c>
      <c r="R17">
        <f>Q17+Assumptions!$B$53</f>
        <v>-443205.66</v>
      </c>
      <c r="S17">
        <f>SUMPRODUCT(--(Assumptions!$D$37:$D$46&lt;=A17))</f>
        <v>3</v>
      </c>
      <c r="T17">
        <f>C17*(INDEX(Assumptions!$B$22:$D$22,B17)+12*INDEX(Assumptions!$B$21:$D$21,B17))*Assumptions!$B$35</f>
        <v>10099.88</v>
      </c>
      <c r="U17">
        <f>INDEX(Assumptions!$B$52:$D$52,B17)</f>
        <v>6000</v>
      </c>
    </row>
    <row r="18">
      <c r="A18">
        <v>16</v>
      </c>
      <c r="B18">
        <f>INT((A18-1)/12)+1</f>
        <v>2</v>
      </c>
      <c r="C18">
        <f>IF(A18&lt;=Assumptions!$C$28,0,INDEX(Assumptions!$C$25:$C$27,B18))</f>
        <v>4.5</v>
      </c>
      <c r="D18">
        <f>E17*Assumptions!$B$29</f>
        <v>0.39</v>
      </c>
      <c r="E18">
        <f>E17+C18-D18</f>
        <v>30.37</v>
      </c>
      <c r="F18">
        <f>E18*INDEX(Assumptions!$B$21:$D$21,B18)</f>
        <v>46160.58</v>
      </c>
      <c r="G18">
        <f>C18*INDEX(Assumptions!$B$22:$D$22,B18)</f>
        <v>18918.75</v>
      </c>
      <c r="H18">
        <f>F18+G18</f>
        <v>65079.33</v>
      </c>
      <c r="I18">
        <f>F18*12</f>
        <v>553926.94</v>
      </c>
      <c r="J18">
        <f>Assumptions!$B$33+E18*Assumptions!$B$32</f>
        <v>7573.76</v>
      </c>
      <c r="K18">
        <f>C18*Assumptions!$B$34</f>
        <v>15750</v>
      </c>
      <c r="L18">
        <f>SUMPRODUCT((Assumptions!$D$37:$D$46&lt;=A18)*Assumptions!$B$37:$B$46)/12*(1+Assumptions!$B$47)</f>
        <v>23500</v>
      </c>
      <c r="M18">
        <f>INDEX(Assumptions!$B$50:$D$50,B18)</f>
        <v>10000</v>
      </c>
      <c r="N18">
        <f>INDEX(Assumptions!$B$51:$D$51,B18)</f>
        <v>5000</v>
      </c>
      <c r="O18">
        <f>J18+K18+L18+M18+N18+T18+U18</f>
        <v>77923.64</v>
      </c>
      <c r="P18">
        <f>H18-O18</f>
        <v>-12844.31</v>
      </c>
      <c r="Q18">
        <f>Q17+P18</f>
        <v>-456049.97</v>
      </c>
      <c r="R18">
        <f>Q18+Assumptions!$B$53</f>
        <v>-456049.97</v>
      </c>
      <c r="S18">
        <f>SUMPRODUCT(--(Assumptions!$D$37:$D$46&lt;=A18))</f>
        <v>3</v>
      </c>
      <c r="T18">
        <f>C18*(INDEX(Assumptions!$B$22:$D$22,B18)+12*INDEX(Assumptions!$B$21:$D$21,B18))*Assumptions!$B$35</f>
        <v>10099.88</v>
      </c>
      <c r="U18">
        <f>INDEX(Assumptions!$B$52:$D$52,B18)</f>
        <v>6000</v>
      </c>
    </row>
    <row r="19">
      <c r="A19">
        <v>17</v>
      </c>
      <c r="B19">
        <f>INT((A19-1)/12)+1</f>
        <v>2</v>
      </c>
      <c r="C19">
        <f>IF(A19&lt;=Assumptions!$C$28,0,INDEX(Assumptions!$C$25:$C$27,B19))</f>
        <v>4.5</v>
      </c>
      <c r="D19">
        <f>E18*Assumptions!$B$29</f>
        <v>0.46</v>
      </c>
      <c r="E19">
        <f>E18+C19-D19</f>
        <v>34.41</v>
      </c>
      <c r="F19">
        <f>E19*INDEX(Assumptions!$B$21:$D$21,B19)</f>
        <v>52308.17</v>
      </c>
      <c r="G19">
        <f>C19*INDEX(Assumptions!$B$22:$D$22,B19)</f>
        <v>18918.75</v>
      </c>
      <c r="H19">
        <f>F19+G19</f>
        <v>71226.92</v>
      </c>
      <c r="I19">
        <f>F19*12</f>
        <v>627698.03</v>
      </c>
      <c r="J19">
        <f>Assumptions!$B$33+E19*Assumptions!$B$32</f>
        <v>8382.65</v>
      </c>
      <c r="K19">
        <f>C19*Assumptions!$B$34</f>
        <v>15750</v>
      </c>
      <c r="L19">
        <f>SUMPRODUCT((Assumptions!$D$37:$D$46&lt;=A19)*Assumptions!$B$37:$B$46)/12*(1+Assumptions!$B$47)</f>
        <v>23500</v>
      </c>
      <c r="M19">
        <f>INDEX(Assumptions!$B$50:$D$50,B19)</f>
        <v>10000</v>
      </c>
      <c r="N19">
        <f>INDEX(Assumptions!$B$51:$D$51,B19)</f>
        <v>5000</v>
      </c>
      <c r="O19">
        <f>J19+K19+L19+M19+N19+T19+U19</f>
        <v>78732.53</v>
      </c>
      <c r="P19">
        <f>H19-O19</f>
        <v>-7505.61</v>
      </c>
      <c r="Q19">
        <f>Q18+P19</f>
        <v>-463555.58</v>
      </c>
      <c r="R19">
        <f>Q19+Assumptions!$B$53</f>
        <v>-463555.58</v>
      </c>
      <c r="S19">
        <f>SUMPRODUCT(--(Assumptions!$D$37:$D$46&lt;=A19))</f>
        <v>3</v>
      </c>
      <c r="T19">
        <f>C19*(INDEX(Assumptions!$B$22:$D$22,B19)+12*INDEX(Assumptions!$B$21:$D$21,B19))*Assumptions!$B$35</f>
        <v>10099.88</v>
      </c>
      <c r="U19">
        <f>INDEX(Assumptions!$B$52:$D$52,B19)</f>
        <v>6000</v>
      </c>
    </row>
    <row r="20">
      <c r="A20">
        <v>18</v>
      </c>
      <c r="B20">
        <f>INT((A20-1)/12)+1</f>
        <v>2</v>
      </c>
      <c r="C20">
        <f>IF(A20&lt;=Assumptions!$C$28,0,INDEX(Assumptions!$C$25:$C$27,B20))</f>
        <v>4.5</v>
      </c>
      <c r="D20">
        <f>E19*Assumptions!$B$29</f>
        <v>0.52</v>
      </c>
      <c r="E20">
        <f>E19+C20-D20</f>
        <v>38.4</v>
      </c>
      <c r="F20">
        <f>E20*INDEX(Assumptions!$B$21:$D$21,B20)</f>
        <v>58363.55</v>
      </c>
      <c r="G20">
        <f>C20*INDEX(Assumptions!$B$22:$D$22,B20)</f>
        <v>18918.75</v>
      </c>
      <c r="H20">
        <f>F20+G20</f>
        <v>77282.3</v>
      </c>
      <c r="I20">
        <f>F20*12</f>
        <v>700362.56</v>
      </c>
      <c r="J20">
        <f>Assumptions!$B$33+E20*Assumptions!$B$32</f>
        <v>9179.41</v>
      </c>
      <c r="K20">
        <f>C20*Assumptions!$B$34</f>
        <v>15750</v>
      </c>
      <c r="L20">
        <f>SUMPRODUCT((Assumptions!$D$37:$D$46&lt;=A20)*Assumptions!$B$37:$B$46)/12*(1+Assumptions!$B$47)</f>
        <v>23500</v>
      </c>
      <c r="M20">
        <f>INDEX(Assumptions!$B$50:$D$50,B20)</f>
        <v>10000</v>
      </c>
      <c r="N20">
        <f>INDEX(Assumptions!$B$51:$D$51,B20)</f>
        <v>5000</v>
      </c>
      <c r="O20">
        <f>J20+K20+L20+M20+N20+T20+U20</f>
        <v>79529.29</v>
      </c>
      <c r="P20">
        <f>H20-O20</f>
        <v>-2246.99</v>
      </c>
      <c r="Q20">
        <f>Q19+P20</f>
        <v>-465802.57</v>
      </c>
      <c r="R20">
        <f>Q20+Assumptions!$B$53</f>
        <v>-465802.57</v>
      </c>
      <c r="S20">
        <f>SUMPRODUCT(--(Assumptions!$D$37:$D$46&lt;=A20))</f>
        <v>3</v>
      </c>
      <c r="T20">
        <f>C20*(INDEX(Assumptions!$B$22:$D$22,B20)+12*INDEX(Assumptions!$B$21:$D$21,B20))*Assumptions!$B$35</f>
        <v>10099.88</v>
      </c>
      <c r="U20">
        <f>INDEX(Assumptions!$B$52:$D$52,B20)</f>
        <v>6000</v>
      </c>
    </row>
    <row r="21">
      <c r="A21">
        <v>19</v>
      </c>
      <c r="B21">
        <f>INT((A21-1)/12)+1</f>
        <v>2</v>
      </c>
      <c r="C21">
        <f>IF(A21&lt;=Assumptions!$C$28,0,INDEX(Assumptions!$C$25:$C$27,B21))</f>
        <v>4.5</v>
      </c>
      <c r="D21">
        <f>E20*Assumptions!$B$29</f>
        <v>0.58</v>
      </c>
      <c r="E21">
        <f>E20+C21-D21</f>
        <v>42.32</v>
      </c>
      <c r="F21">
        <f>E21*INDEX(Assumptions!$B$21:$D$21,B21)</f>
        <v>64328.09</v>
      </c>
      <c r="G21">
        <f>C21*INDEX(Assumptions!$B$22:$D$22,B21)</f>
        <v>18918.75</v>
      </c>
      <c r="H21">
        <f>F21+G21</f>
        <v>83246.84</v>
      </c>
      <c r="I21">
        <f>F21*12</f>
        <v>771937.12</v>
      </c>
      <c r="J21">
        <f>Assumptions!$B$33+E21*Assumptions!$B$32</f>
        <v>9964.22</v>
      </c>
      <c r="K21">
        <f>C21*Assumptions!$B$34</f>
        <v>15750</v>
      </c>
      <c r="L21">
        <f>SUMPRODUCT((Assumptions!$D$37:$D$46&lt;=A21)*Assumptions!$B$37:$B$46)/12*(1+Assumptions!$B$47)</f>
        <v>43500</v>
      </c>
      <c r="M21">
        <f>INDEX(Assumptions!$B$50:$D$50,B21)</f>
        <v>10000</v>
      </c>
      <c r="N21">
        <f>INDEX(Assumptions!$B$51:$D$51,B21)</f>
        <v>5000</v>
      </c>
      <c r="O21">
        <f>J21+K21+L21+M21+N21+T21+U21</f>
        <v>100314.1</v>
      </c>
      <c r="P21">
        <f>H21-O21</f>
        <v>-17067.25</v>
      </c>
      <c r="Q21">
        <f>Q20+P21</f>
        <v>-482869.82</v>
      </c>
      <c r="R21">
        <f>Q21+Assumptions!$B$53</f>
        <v>-482869.82</v>
      </c>
      <c r="S21">
        <f>SUMPRODUCT(--(Assumptions!$D$37:$D$46&lt;=A21))</f>
        <v>6</v>
      </c>
      <c r="T21">
        <f>C21*(INDEX(Assumptions!$B$22:$D$22,B21)+12*INDEX(Assumptions!$B$21:$D$21,B21))*Assumptions!$B$35</f>
        <v>10099.88</v>
      </c>
      <c r="U21">
        <f>INDEX(Assumptions!$B$52:$D$52,B21)</f>
        <v>6000</v>
      </c>
    </row>
    <row r="22">
      <c r="A22">
        <v>20</v>
      </c>
      <c r="B22">
        <f>INT((A22-1)/12)+1</f>
        <v>2</v>
      </c>
      <c r="C22">
        <f>IF(A22&lt;=Assumptions!$C$28,0,INDEX(Assumptions!$C$25:$C$27,B22))</f>
        <v>4.5</v>
      </c>
      <c r="D22">
        <f>E21*Assumptions!$B$29</f>
        <v>0.63</v>
      </c>
      <c r="E22">
        <f>E21+C22-D22</f>
        <v>46.19</v>
      </c>
      <c r="F22">
        <f>E22*INDEX(Assumptions!$B$21:$D$21,B22)</f>
        <v>70203.17</v>
      </c>
      <c r="G22">
        <f>C22*INDEX(Assumptions!$B$22:$D$22,B22)</f>
        <v>18918.75</v>
      </c>
      <c r="H22">
        <f>F22+G22</f>
        <v>89121.92</v>
      </c>
      <c r="I22">
        <f>F22*12</f>
        <v>842438.07</v>
      </c>
      <c r="J22">
        <f>Assumptions!$B$33+E22*Assumptions!$B$32</f>
        <v>10737.26</v>
      </c>
      <c r="K22">
        <f>C22*Assumptions!$B$34</f>
        <v>15750</v>
      </c>
      <c r="L22">
        <f>SUMPRODUCT((Assumptions!$D$37:$D$46&lt;=A22)*Assumptions!$B$37:$B$46)/12*(1+Assumptions!$B$47)</f>
        <v>43500</v>
      </c>
      <c r="M22">
        <f>INDEX(Assumptions!$B$50:$D$50,B22)</f>
        <v>10000</v>
      </c>
      <c r="N22">
        <f>INDEX(Assumptions!$B$51:$D$51,B22)</f>
        <v>5000</v>
      </c>
      <c r="O22">
        <f>J22+K22+L22+M22+N22+T22+U22</f>
        <v>101087.13</v>
      </c>
      <c r="P22">
        <f>H22-O22</f>
        <v>-11965.21</v>
      </c>
      <c r="Q22">
        <f>Q21+P22</f>
        <v>-494835.04</v>
      </c>
      <c r="R22">
        <f>Q22+Assumptions!$B$53</f>
        <v>-494835.04</v>
      </c>
      <c r="S22">
        <f>SUMPRODUCT(--(Assumptions!$D$37:$D$46&lt;=A22))</f>
        <v>6</v>
      </c>
      <c r="T22">
        <f>C22*(INDEX(Assumptions!$B$22:$D$22,B22)+12*INDEX(Assumptions!$B$21:$D$21,B22))*Assumptions!$B$35</f>
        <v>10099.88</v>
      </c>
      <c r="U22">
        <f>INDEX(Assumptions!$B$52:$D$52,B22)</f>
        <v>6000</v>
      </c>
    </row>
    <row r="23">
      <c r="A23">
        <v>21</v>
      </c>
      <c r="B23">
        <f>INT((A23-1)/12)+1</f>
        <v>2</v>
      </c>
      <c r="C23">
        <f>IF(A23&lt;=Assumptions!$C$28,0,INDEX(Assumptions!$C$25:$C$27,B23))</f>
        <v>4.5</v>
      </c>
      <c r="D23">
        <f>E22*Assumptions!$B$29</f>
        <v>0.69</v>
      </c>
      <c r="E23">
        <f>E22+C23-D23</f>
        <v>49.99</v>
      </c>
      <c r="F23">
        <f>E23*INDEX(Assumptions!$B$21:$D$21,B23)</f>
        <v>75990.12</v>
      </c>
      <c r="G23">
        <f>C23*INDEX(Assumptions!$B$22:$D$22,B23)</f>
        <v>18918.75</v>
      </c>
      <c r="H23">
        <f>F23+G23</f>
        <v>94908.87</v>
      </c>
      <c r="I23">
        <f>F23*12</f>
        <v>911881.5</v>
      </c>
      <c r="J23">
        <f>Assumptions!$B$33+E23*Assumptions!$B$32</f>
        <v>11498.7</v>
      </c>
      <c r="K23">
        <f>C23*Assumptions!$B$34</f>
        <v>15750</v>
      </c>
      <c r="L23">
        <f>SUMPRODUCT((Assumptions!$D$37:$D$46&lt;=A23)*Assumptions!$B$37:$B$46)/12*(1+Assumptions!$B$47)</f>
        <v>43500</v>
      </c>
      <c r="M23">
        <f>INDEX(Assumptions!$B$50:$D$50,B23)</f>
        <v>10000</v>
      </c>
      <c r="N23">
        <f>INDEX(Assumptions!$B$51:$D$51,B23)</f>
        <v>5000</v>
      </c>
      <c r="O23">
        <f>J23+K23+L23+M23+N23+T23+U23</f>
        <v>101848.58</v>
      </c>
      <c r="P23">
        <f>H23-O23</f>
        <v>-6939.7</v>
      </c>
      <c r="Q23">
        <f>Q22+P23</f>
        <v>-501774.74</v>
      </c>
      <c r="R23">
        <f>Q23+Assumptions!$B$53</f>
        <v>-501774.74</v>
      </c>
      <c r="S23">
        <f>SUMPRODUCT(--(Assumptions!$D$37:$D$46&lt;=A23))</f>
        <v>6</v>
      </c>
      <c r="T23">
        <f>C23*(INDEX(Assumptions!$B$22:$D$22,B23)+12*INDEX(Assumptions!$B$21:$D$21,B23))*Assumptions!$B$35</f>
        <v>10099.88</v>
      </c>
      <c r="U23">
        <f>INDEX(Assumptions!$B$52:$D$52,B23)</f>
        <v>6000</v>
      </c>
    </row>
    <row r="24">
      <c r="A24">
        <v>22</v>
      </c>
      <c r="B24">
        <f>INT((A24-1)/12)+1</f>
        <v>2</v>
      </c>
      <c r="C24">
        <f>IF(A24&lt;=Assumptions!$C$28,0,INDEX(Assumptions!$C$25:$C$27,B24))</f>
        <v>4.5</v>
      </c>
      <c r="D24">
        <f>E23*Assumptions!$B$29</f>
        <v>0.75</v>
      </c>
      <c r="E24">
        <f>E23+C24-D24</f>
        <v>53.74</v>
      </c>
      <c r="F24">
        <f>E24*INDEX(Assumptions!$B$21:$D$21,B24)</f>
        <v>81690.27</v>
      </c>
      <c r="G24">
        <f>C24*INDEX(Assumptions!$B$22:$D$22,B24)</f>
        <v>18918.75</v>
      </c>
      <c r="H24">
        <f>F24+G24</f>
        <v>100609.02</v>
      </c>
      <c r="I24">
        <f>F24*12</f>
        <v>980283.27</v>
      </c>
      <c r="J24">
        <f>Assumptions!$B$33+E24*Assumptions!$B$32</f>
        <v>12248.72</v>
      </c>
      <c r="K24">
        <f>C24*Assumptions!$B$34</f>
        <v>15750</v>
      </c>
      <c r="L24">
        <f>SUMPRODUCT((Assumptions!$D$37:$D$46&lt;=A24)*Assumptions!$B$37:$B$46)/12*(1+Assumptions!$B$47)</f>
        <v>43500</v>
      </c>
      <c r="M24">
        <f>INDEX(Assumptions!$B$50:$D$50,B24)</f>
        <v>10000</v>
      </c>
      <c r="N24">
        <f>INDEX(Assumptions!$B$51:$D$51,B24)</f>
        <v>5000</v>
      </c>
      <c r="O24">
        <f>J24+K24+L24+M24+N24+T24+U24</f>
        <v>102598.6</v>
      </c>
      <c r="P24">
        <f>H24-O24</f>
        <v>-1989.57</v>
      </c>
      <c r="Q24">
        <f>Q23+P24</f>
        <v>-503764.31</v>
      </c>
      <c r="R24">
        <f>Q24+Assumptions!$B$53</f>
        <v>-503764.31</v>
      </c>
      <c r="S24">
        <f>SUMPRODUCT(--(Assumptions!$D$37:$D$46&lt;=A24))</f>
        <v>6</v>
      </c>
      <c r="T24">
        <f>C24*(INDEX(Assumptions!$B$22:$D$22,B24)+12*INDEX(Assumptions!$B$21:$D$21,B24))*Assumptions!$B$35</f>
        <v>10099.88</v>
      </c>
      <c r="U24">
        <f>INDEX(Assumptions!$B$52:$D$52,B24)</f>
        <v>6000</v>
      </c>
    </row>
    <row r="25">
      <c r="A25">
        <v>23</v>
      </c>
      <c r="B25">
        <f>INT((A25-1)/12)+1</f>
        <v>2</v>
      </c>
      <c r="C25">
        <f>IF(A25&lt;=Assumptions!$C$28,0,INDEX(Assumptions!$C$25:$C$27,B25))</f>
        <v>4.5</v>
      </c>
      <c r="D25">
        <f>E24*Assumptions!$B$29</f>
        <v>0.81</v>
      </c>
      <c r="E25">
        <f>E24+C25-D25</f>
        <v>57.44</v>
      </c>
      <c r="F25">
        <f>E25*INDEX(Assumptions!$B$21:$D$21,B25)</f>
        <v>87304.92</v>
      </c>
      <c r="G25">
        <f>C25*INDEX(Assumptions!$B$22:$D$22,B25)</f>
        <v>18918.75</v>
      </c>
      <c r="H25">
        <f>F25+G25</f>
        <v>106223.67</v>
      </c>
      <c r="I25">
        <f>F25*12</f>
        <v>1047659.03</v>
      </c>
      <c r="J25">
        <f>Assumptions!$B$33+E25*Assumptions!$B$32</f>
        <v>12987.49</v>
      </c>
      <c r="K25">
        <f>C25*Assumptions!$B$34</f>
        <v>15750</v>
      </c>
      <c r="L25">
        <f>SUMPRODUCT((Assumptions!$D$37:$D$46&lt;=A25)*Assumptions!$B$37:$B$46)/12*(1+Assumptions!$B$47)</f>
        <v>43500</v>
      </c>
      <c r="M25">
        <f>INDEX(Assumptions!$B$50:$D$50,B25)</f>
        <v>10000</v>
      </c>
      <c r="N25">
        <f>INDEX(Assumptions!$B$51:$D$51,B25)</f>
        <v>5000</v>
      </c>
      <c r="O25">
        <f>J25+K25+L25+M25+N25+T25+U25</f>
        <v>103337.36</v>
      </c>
      <c r="P25">
        <f>H25-O25</f>
        <v>2886.3</v>
      </c>
      <c r="Q25">
        <f>Q24+P25</f>
        <v>-500878.01</v>
      </c>
      <c r="R25">
        <f>Q25+Assumptions!$B$53</f>
        <v>-500878.01</v>
      </c>
      <c r="S25">
        <f>SUMPRODUCT(--(Assumptions!$D$37:$D$46&lt;=A25))</f>
        <v>6</v>
      </c>
      <c r="T25">
        <f>C25*(INDEX(Assumptions!$B$22:$D$22,B25)+12*INDEX(Assumptions!$B$21:$D$21,B25))*Assumptions!$B$35</f>
        <v>10099.88</v>
      </c>
      <c r="U25">
        <f>INDEX(Assumptions!$B$52:$D$52,B25)</f>
        <v>6000</v>
      </c>
    </row>
    <row r="26">
      <c r="A26">
        <v>24</v>
      </c>
      <c r="B26">
        <f>INT((A26-1)/12)+1</f>
        <v>2</v>
      </c>
      <c r="C26">
        <f>IF(A26&lt;=Assumptions!$C$28,0,INDEX(Assumptions!$C$25:$C$27,B26))</f>
        <v>4.5</v>
      </c>
      <c r="D26">
        <f>E25*Assumptions!$B$29</f>
        <v>0.86</v>
      </c>
      <c r="E26">
        <f>E25+C26-D26</f>
        <v>61.08</v>
      </c>
      <c r="F26">
        <f>E26*INDEX(Assumptions!$B$21:$D$21,B26)</f>
        <v>92835.34</v>
      </c>
      <c r="G26">
        <f>C26*INDEX(Assumptions!$B$22:$D$22,B26)</f>
        <v>18918.75</v>
      </c>
      <c r="H26">
        <f>F26+G26</f>
        <v>111754.09</v>
      </c>
      <c r="I26">
        <f>F26*12</f>
        <v>1114024.14</v>
      </c>
      <c r="J26">
        <f>Assumptions!$B$33+E26*Assumptions!$B$32</f>
        <v>13715.18</v>
      </c>
      <c r="K26">
        <f>C26*Assumptions!$B$34</f>
        <v>15750</v>
      </c>
      <c r="L26">
        <f>SUMPRODUCT((Assumptions!$D$37:$D$46&lt;=A26)*Assumptions!$B$37:$B$46)/12*(1+Assumptions!$B$47)</f>
        <v>43500</v>
      </c>
      <c r="M26">
        <f>INDEX(Assumptions!$B$50:$D$50,B26)</f>
        <v>10000</v>
      </c>
      <c r="N26">
        <f>INDEX(Assumptions!$B$51:$D$51,B26)</f>
        <v>5000</v>
      </c>
      <c r="O26">
        <f>J26+K26+L26+M26+N26+T26+U26</f>
        <v>104065.05</v>
      </c>
      <c r="P26">
        <f>H26-O26</f>
        <v>7689.04</v>
      </c>
      <c r="Q26">
        <f>Q25+P26</f>
        <v>-493188.96</v>
      </c>
      <c r="R26">
        <f>Q26+Assumptions!$B$53</f>
        <v>-493188.96</v>
      </c>
      <c r="S26">
        <f>SUMPRODUCT(--(Assumptions!$D$37:$D$46&lt;=A26))</f>
        <v>6</v>
      </c>
      <c r="T26">
        <f>C26*(INDEX(Assumptions!$B$22:$D$22,B26)+12*INDEX(Assumptions!$B$21:$D$21,B26))*Assumptions!$B$35</f>
        <v>10099.88</v>
      </c>
      <c r="U26">
        <f>INDEX(Assumptions!$B$52:$D$52,B26)</f>
        <v>6000</v>
      </c>
    </row>
    <row r="27">
      <c r="A27">
        <v>25</v>
      </c>
      <c r="B27">
        <f>INT((A27-1)/12)+1</f>
        <v>3</v>
      </c>
      <c r="C27">
        <f>IF(A27&lt;=Assumptions!$C$28,0,INDEX(Assumptions!$C$25:$C$27,B27))</f>
        <v>11.5</v>
      </c>
      <c r="D27">
        <f>E26*Assumptions!$B$29</f>
        <v>0.92</v>
      </c>
      <c r="E27">
        <f>E26+C27-D27</f>
        <v>71.66</v>
      </c>
      <c r="F27">
        <f>E27*INDEX(Assumptions!$B$21:$D$21,B27)</f>
        <v>113347.8</v>
      </c>
      <c r="G27">
        <f>C27*INDEX(Assumptions!$B$22:$D$22,B27)</f>
        <v>47006.25</v>
      </c>
      <c r="H27">
        <f>F27+G27</f>
        <v>160354.05</v>
      </c>
      <c r="I27">
        <f>F27*12</f>
        <v>1360173.65</v>
      </c>
      <c r="J27">
        <f>Assumptions!$B$33+E27*Assumptions!$B$32</f>
        <v>15831.95</v>
      </c>
      <c r="K27">
        <f>C27*Assumptions!$B$34</f>
        <v>40250</v>
      </c>
      <c r="L27">
        <f>SUMPRODUCT((Assumptions!$D$37:$D$46&lt;=A27)*Assumptions!$B$37:$B$46)/12*(1+Assumptions!$B$47)</f>
        <v>43500</v>
      </c>
      <c r="M27">
        <f>INDEX(Assumptions!$B$50:$D$50,B27)</f>
        <v>20000</v>
      </c>
      <c r="N27">
        <f>INDEX(Assumptions!$B$51:$D$51,B27)</f>
        <v>8000</v>
      </c>
      <c r="O27">
        <f>J27+K27+L27+M27+N27+T27+U27</f>
        <v>162110.72</v>
      </c>
      <c r="P27">
        <f>H27-O27</f>
        <v>-1756.67</v>
      </c>
      <c r="Q27">
        <f>Q26+P27</f>
        <v>-494945.63</v>
      </c>
      <c r="R27">
        <f>Q27+Assumptions!$B$53</f>
        <v>-494945.63</v>
      </c>
      <c r="S27">
        <f>SUMPRODUCT(--(Assumptions!$D$37:$D$46&lt;=A27))</f>
        <v>6</v>
      </c>
      <c r="T27">
        <f>C27*(INDEX(Assumptions!$B$22:$D$22,B27)+12*INDEX(Assumptions!$B$21:$D$21,B27))*Assumptions!$B$35</f>
        <v>26528.78</v>
      </c>
      <c r="U27">
        <f>INDEX(Assumptions!$B$52:$D$52,B27)</f>
        <v>8000</v>
      </c>
    </row>
    <row r="28">
      <c r="A28">
        <v>26</v>
      </c>
      <c r="B28">
        <f>INT((A28-1)/12)+1</f>
        <v>3</v>
      </c>
      <c r="C28">
        <f>IF(A28&lt;=Assumptions!$C$28,0,INDEX(Assumptions!$C$25:$C$27,B28))</f>
        <v>11.5</v>
      </c>
      <c r="D28">
        <f>E27*Assumptions!$B$29</f>
        <v>1.07</v>
      </c>
      <c r="E28">
        <f>E27+C28-D28</f>
        <v>82.08</v>
      </c>
      <c r="F28">
        <f>E28*INDEX(Assumptions!$B$21:$D$21,B28)</f>
        <v>129837.71</v>
      </c>
      <c r="G28">
        <f>C28*INDEX(Assumptions!$B$22:$D$22,B28)</f>
        <v>47006.25</v>
      </c>
      <c r="H28">
        <f>F28+G28</f>
        <v>176843.96</v>
      </c>
      <c r="I28">
        <f>F28*12</f>
        <v>1558052.55</v>
      </c>
      <c r="J28">
        <f>Assumptions!$B$33+E28*Assumptions!$B$32</f>
        <v>17916.97</v>
      </c>
      <c r="K28">
        <f>C28*Assumptions!$B$34</f>
        <v>40250</v>
      </c>
      <c r="L28">
        <f>SUMPRODUCT((Assumptions!$D$37:$D$46&lt;=A28)*Assumptions!$B$37:$B$46)/12*(1+Assumptions!$B$47)</f>
        <v>43500</v>
      </c>
      <c r="M28">
        <f>INDEX(Assumptions!$B$50:$D$50,B28)</f>
        <v>20000</v>
      </c>
      <c r="N28">
        <f>INDEX(Assumptions!$B$51:$D$51,B28)</f>
        <v>8000</v>
      </c>
      <c r="O28">
        <f>J28+K28+L28+M28+N28+T28+U28</f>
        <v>164195.75</v>
      </c>
      <c r="P28">
        <f>H28-O28</f>
        <v>12648.22</v>
      </c>
      <c r="Q28">
        <f>Q27+P28</f>
        <v>-482297.42</v>
      </c>
      <c r="R28">
        <f>Q28+Assumptions!$B$53</f>
        <v>-482297.42</v>
      </c>
      <c r="S28">
        <f>SUMPRODUCT(--(Assumptions!$D$37:$D$46&lt;=A28))</f>
        <v>6</v>
      </c>
      <c r="T28">
        <f>C28*(INDEX(Assumptions!$B$22:$D$22,B28)+12*INDEX(Assumptions!$B$21:$D$21,B28))*Assumptions!$B$35</f>
        <v>26528.78</v>
      </c>
      <c r="U28">
        <f>INDEX(Assumptions!$B$52:$D$52,B28)</f>
        <v>8000</v>
      </c>
    </row>
    <row r="29">
      <c r="A29">
        <v>27</v>
      </c>
      <c r="B29">
        <f>INT((A29-1)/12)+1</f>
        <v>3</v>
      </c>
      <c r="C29">
        <f>IF(A29&lt;=Assumptions!$C$28,0,INDEX(Assumptions!$C$25:$C$27,B29))</f>
        <v>11.5</v>
      </c>
      <c r="D29">
        <f>E28*Assumptions!$B$29</f>
        <v>1.23</v>
      </c>
      <c r="E29">
        <f>E28+C29-D29</f>
        <v>92.35</v>
      </c>
      <c r="F29">
        <f>E29*INDEX(Assumptions!$B$21:$D$21,B29)</f>
        <v>146080.27</v>
      </c>
      <c r="G29">
        <f>C29*INDEX(Assumptions!$B$22:$D$22,B29)</f>
        <v>47006.25</v>
      </c>
      <c r="H29">
        <f>F29+G29</f>
        <v>193086.52</v>
      </c>
      <c r="I29">
        <f>F29*12</f>
        <v>1752963.26</v>
      </c>
      <c r="J29">
        <f>Assumptions!$B$33+E29*Assumptions!$B$32</f>
        <v>19970.72</v>
      </c>
      <c r="K29">
        <f>C29*Assumptions!$B$34</f>
        <v>40250</v>
      </c>
      <c r="L29">
        <f>SUMPRODUCT((Assumptions!$D$37:$D$46&lt;=A29)*Assumptions!$B$37:$B$46)/12*(1+Assumptions!$B$47)</f>
        <v>43500</v>
      </c>
      <c r="M29">
        <f>INDEX(Assumptions!$B$50:$D$50,B29)</f>
        <v>20000</v>
      </c>
      <c r="N29">
        <f>INDEX(Assumptions!$B$51:$D$51,B29)</f>
        <v>8000</v>
      </c>
      <c r="O29">
        <f>J29+K29+L29+M29+N29+T29+U29</f>
        <v>166249.49</v>
      </c>
      <c r="P29">
        <f>H29-O29</f>
        <v>26837.03</v>
      </c>
      <c r="Q29">
        <f>Q28+P29</f>
        <v>-455460.38</v>
      </c>
      <c r="R29">
        <f>Q29+Assumptions!$B$53</f>
        <v>-455460.38</v>
      </c>
      <c r="S29">
        <f>SUMPRODUCT(--(Assumptions!$D$37:$D$46&lt;=A29))</f>
        <v>6</v>
      </c>
      <c r="T29">
        <f>C29*(INDEX(Assumptions!$B$22:$D$22,B29)+12*INDEX(Assumptions!$B$21:$D$21,B29))*Assumptions!$B$35</f>
        <v>26528.78</v>
      </c>
      <c r="U29">
        <f>INDEX(Assumptions!$B$52:$D$52,B29)</f>
        <v>8000</v>
      </c>
    </row>
    <row r="30">
      <c r="A30">
        <v>28</v>
      </c>
      <c r="B30">
        <f>INT((A30-1)/12)+1</f>
        <v>3</v>
      </c>
      <c r="C30">
        <f>IF(A30&lt;=Assumptions!$C$28,0,INDEX(Assumptions!$C$25:$C$27,B30))</f>
        <v>11.5</v>
      </c>
      <c r="D30">
        <f>E29*Assumptions!$B$29</f>
        <v>1.39</v>
      </c>
      <c r="E30">
        <f>E29+C30-D30</f>
        <v>102.47</v>
      </c>
      <c r="F30">
        <f>E30*INDEX(Assumptions!$B$21:$D$21,B30)</f>
        <v>162079.19</v>
      </c>
      <c r="G30">
        <f>C30*INDEX(Assumptions!$B$22:$D$22,B30)</f>
        <v>47006.25</v>
      </c>
      <c r="H30">
        <f>F30+G30</f>
        <v>209085.44</v>
      </c>
      <c r="I30">
        <f>F30*12</f>
        <v>1944950.31</v>
      </c>
      <c r="J30">
        <f>Assumptions!$B$33+E30*Assumptions!$B$32</f>
        <v>21993.65</v>
      </c>
      <c r="K30">
        <f>C30*Assumptions!$B$34</f>
        <v>40250</v>
      </c>
      <c r="L30">
        <f>SUMPRODUCT((Assumptions!$D$37:$D$46&lt;=A30)*Assumptions!$B$37:$B$46)/12*(1+Assumptions!$B$47)</f>
        <v>43500</v>
      </c>
      <c r="M30">
        <f>INDEX(Assumptions!$B$50:$D$50,B30)</f>
        <v>20000</v>
      </c>
      <c r="N30">
        <f>INDEX(Assumptions!$B$51:$D$51,B30)</f>
        <v>8000</v>
      </c>
      <c r="O30">
        <f>J30+K30+L30+M30+N30+T30+U30</f>
        <v>168272.43</v>
      </c>
      <c r="P30">
        <f>H30-O30</f>
        <v>40813.01</v>
      </c>
      <c r="Q30">
        <f>Q29+P30</f>
        <v>-414647.37</v>
      </c>
      <c r="R30">
        <f>Q30+Assumptions!$B$53</f>
        <v>-414647.37</v>
      </c>
      <c r="S30">
        <f>SUMPRODUCT(--(Assumptions!$D$37:$D$46&lt;=A30))</f>
        <v>6</v>
      </c>
      <c r="T30">
        <f>C30*(INDEX(Assumptions!$B$22:$D$22,B30)+12*INDEX(Assumptions!$B$21:$D$21,B30))*Assumptions!$B$35</f>
        <v>26528.78</v>
      </c>
      <c r="U30">
        <f>INDEX(Assumptions!$B$52:$D$52,B30)</f>
        <v>8000</v>
      </c>
    </row>
    <row r="31">
      <c r="A31">
        <v>29</v>
      </c>
      <c r="B31">
        <f>INT((A31-1)/12)+1</f>
        <v>3</v>
      </c>
      <c r="C31">
        <f>IF(A31&lt;=Assumptions!$C$28,0,INDEX(Assumptions!$C$25:$C$27,B31))</f>
        <v>11.5</v>
      </c>
      <c r="D31">
        <f>E30*Assumptions!$B$29</f>
        <v>1.54</v>
      </c>
      <c r="E31">
        <f>E30+C31-D31</f>
        <v>112.43</v>
      </c>
      <c r="F31">
        <f>E31*INDEX(Assumptions!$B$21:$D$21,B31)</f>
        <v>177838.13</v>
      </c>
      <c r="G31">
        <f>C31*INDEX(Assumptions!$B$22:$D$22,B31)</f>
        <v>47006.25</v>
      </c>
      <c r="H31">
        <f>F31+G31</f>
        <v>224844.38</v>
      </c>
      <c r="I31">
        <f>F31*12</f>
        <v>2134057.55</v>
      </c>
      <c r="J31">
        <f>Assumptions!$B$33+E31*Assumptions!$B$32</f>
        <v>23986.25</v>
      </c>
      <c r="K31">
        <f>C31*Assumptions!$B$34</f>
        <v>40250</v>
      </c>
      <c r="L31">
        <f>SUMPRODUCT((Assumptions!$D$37:$D$46&lt;=A31)*Assumptions!$B$37:$B$46)/12*(1+Assumptions!$B$47)</f>
        <v>43500</v>
      </c>
      <c r="M31">
        <f>INDEX(Assumptions!$B$50:$D$50,B31)</f>
        <v>20000</v>
      </c>
      <c r="N31">
        <f>INDEX(Assumptions!$B$51:$D$51,B31)</f>
        <v>8000</v>
      </c>
      <c r="O31">
        <f>J31+K31+L31+M31+N31+T31+U31</f>
        <v>170265.02</v>
      </c>
      <c r="P31">
        <f>H31-O31</f>
        <v>54579.35</v>
      </c>
      <c r="Q31">
        <f>Q30+P31</f>
        <v>-360068.02</v>
      </c>
      <c r="R31">
        <f>Q31+Assumptions!$B$53</f>
        <v>-360068.02</v>
      </c>
      <c r="S31">
        <f>SUMPRODUCT(--(Assumptions!$D$37:$D$46&lt;=A31))</f>
        <v>6</v>
      </c>
      <c r="T31">
        <f>C31*(INDEX(Assumptions!$B$22:$D$22,B31)+12*INDEX(Assumptions!$B$21:$D$21,B31))*Assumptions!$B$35</f>
        <v>26528.78</v>
      </c>
      <c r="U31">
        <f>INDEX(Assumptions!$B$52:$D$52,B31)</f>
        <v>8000</v>
      </c>
    </row>
    <row r="32">
      <c r="A32">
        <v>30</v>
      </c>
      <c r="B32">
        <f>INT((A32-1)/12)+1</f>
        <v>3</v>
      </c>
      <c r="C32">
        <f>IF(A32&lt;=Assumptions!$C$28,0,INDEX(Assumptions!$C$25:$C$27,B32))</f>
        <v>11.5</v>
      </c>
      <c r="D32">
        <f>E31*Assumptions!$B$29</f>
        <v>1.69</v>
      </c>
      <c r="E32">
        <f>E31+C32-D32</f>
        <v>122.24</v>
      </c>
      <c r="F32">
        <f>E32*INDEX(Assumptions!$B$21:$D$21,B32)</f>
        <v>193360.68</v>
      </c>
      <c r="G32">
        <f>C32*INDEX(Assumptions!$B$22:$D$22,B32)</f>
        <v>47006.25</v>
      </c>
      <c r="H32">
        <f>F32+G32</f>
        <v>240366.93</v>
      </c>
      <c r="I32">
        <f>F32*12</f>
        <v>2320328.19</v>
      </c>
      <c r="J32">
        <f>Assumptions!$B$33+E32*Assumptions!$B$32</f>
        <v>25948.96</v>
      </c>
      <c r="K32">
        <f>C32*Assumptions!$B$34</f>
        <v>40250</v>
      </c>
      <c r="L32">
        <f>SUMPRODUCT((Assumptions!$D$37:$D$46&lt;=A32)*Assumptions!$B$37:$B$46)/12*(1+Assumptions!$B$47)</f>
        <v>43500</v>
      </c>
      <c r="M32">
        <f>INDEX(Assumptions!$B$50:$D$50,B32)</f>
        <v>20000</v>
      </c>
      <c r="N32">
        <f>INDEX(Assumptions!$B$51:$D$51,B32)</f>
        <v>8000</v>
      </c>
      <c r="O32">
        <f>J32+K32+L32+M32+N32+T32+U32</f>
        <v>172227.73</v>
      </c>
      <c r="P32">
        <f>H32-O32</f>
        <v>68139.2</v>
      </c>
      <c r="Q32">
        <f>Q31+P32</f>
        <v>-291928.82</v>
      </c>
      <c r="R32">
        <f>Q32+Assumptions!$B$53</f>
        <v>-291928.82</v>
      </c>
      <c r="S32">
        <f>SUMPRODUCT(--(Assumptions!$D$37:$D$46&lt;=A32))</f>
        <v>6</v>
      </c>
      <c r="T32">
        <f>C32*(INDEX(Assumptions!$B$22:$D$22,B32)+12*INDEX(Assumptions!$B$21:$D$21,B32))*Assumptions!$B$35</f>
        <v>26528.78</v>
      </c>
      <c r="U32">
        <f>INDEX(Assumptions!$B$52:$D$52,B32)</f>
        <v>8000</v>
      </c>
    </row>
    <row r="33">
      <c r="A33">
        <v>31</v>
      </c>
      <c r="B33">
        <f>INT((A33-1)/12)+1</f>
        <v>3</v>
      </c>
      <c r="C33">
        <f>IF(A33&lt;=Assumptions!$C$28,0,INDEX(Assumptions!$C$25:$C$27,B33))</f>
        <v>11.5</v>
      </c>
      <c r="D33">
        <f>E32*Assumptions!$B$29</f>
        <v>1.83</v>
      </c>
      <c r="E33">
        <f>E32+C33-D33</f>
        <v>131.91</v>
      </c>
      <c r="F33">
        <f>E33*INDEX(Assumptions!$B$21:$D$21,B33)</f>
        <v>208650.4</v>
      </c>
      <c r="G33">
        <f>C33*INDEX(Assumptions!$B$22:$D$22,B33)</f>
        <v>47006.25</v>
      </c>
      <c r="H33">
        <f>F33+G33</f>
        <v>255656.65</v>
      </c>
      <c r="I33">
        <f>F33*12</f>
        <v>2503804.77</v>
      </c>
      <c r="J33">
        <f>Assumptions!$B$33+E33*Assumptions!$B$32</f>
        <v>27882.22</v>
      </c>
      <c r="K33">
        <f>C33*Assumptions!$B$34</f>
        <v>40250</v>
      </c>
      <c r="L33">
        <f>SUMPRODUCT((Assumptions!$D$37:$D$46&lt;=A33)*Assumptions!$B$37:$B$46)/12*(1+Assumptions!$B$47)</f>
        <v>67500</v>
      </c>
      <c r="M33">
        <f>INDEX(Assumptions!$B$50:$D$50,B33)</f>
        <v>20000</v>
      </c>
      <c r="N33">
        <f>INDEX(Assumptions!$B$51:$D$51,B33)</f>
        <v>8000</v>
      </c>
      <c r="O33">
        <f>J33+K33+L33+M33+N33+T33+U33</f>
        <v>198161</v>
      </c>
      <c r="P33">
        <f>H33-O33</f>
        <v>57495.65</v>
      </c>
      <c r="Q33">
        <f>Q32+P33</f>
        <v>-234433.17</v>
      </c>
      <c r="R33">
        <f>Q33+Assumptions!$B$53</f>
        <v>-234433.17</v>
      </c>
      <c r="S33">
        <f>SUMPRODUCT(--(Assumptions!$D$37:$D$46&lt;=A33))</f>
        <v>10</v>
      </c>
      <c r="T33">
        <f>C33*(INDEX(Assumptions!$B$22:$D$22,B33)+12*INDEX(Assumptions!$B$21:$D$21,B33))*Assumptions!$B$35</f>
        <v>26528.78</v>
      </c>
      <c r="U33">
        <f>INDEX(Assumptions!$B$52:$D$52,B33)</f>
        <v>8000</v>
      </c>
    </row>
    <row r="34">
      <c r="A34">
        <v>32</v>
      </c>
      <c r="B34">
        <f>INT((A34-1)/12)+1</f>
        <v>3</v>
      </c>
      <c r="C34">
        <f>IF(A34&lt;=Assumptions!$C$28,0,INDEX(Assumptions!$C$25:$C$27,B34))</f>
        <v>11.5</v>
      </c>
      <c r="D34">
        <f>E33*Assumptions!$B$29</f>
        <v>1.98</v>
      </c>
      <c r="E34">
        <f>E33+C34-D34</f>
        <v>141.43</v>
      </c>
      <c r="F34">
        <f>E34*INDEX(Assumptions!$B$21:$D$21,B34)</f>
        <v>223710.77</v>
      </c>
      <c r="G34">
        <f>C34*INDEX(Assumptions!$B$22:$D$22,B34)</f>
        <v>47006.25</v>
      </c>
      <c r="H34">
        <f>F34+G34</f>
        <v>270717.02</v>
      </c>
      <c r="I34">
        <f>F34*12</f>
        <v>2684529.2</v>
      </c>
      <c r="J34">
        <f>Assumptions!$B$33+E34*Assumptions!$B$32</f>
        <v>29786.49</v>
      </c>
      <c r="K34">
        <f>C34*Assumptions!$B$34</f>
        <v>40250</v>
      </c>
      <c r="L34">
        <f>SUMPRODUCT((Assumptions!$D$37:$D$46&lt;=A34)*Assumptions!$B$37:$B$46)/12*(1+Assumptions!$B$47)</f>
        <v>67500</v>
      </c>
      <c r="M34">
        <f>INDEX(Assumptions!$B$50:$D$50,B34)</f>
        <v>20000</v>
      </c>
      <c r="N34">
        <f>INDEX(Assumptions!$B$51:$D$51,B34)</f>
        <v>8000</v>
      </c>
      <c r="O34">
        <f>J34+K34+L34+M34+N34+T34+U34</f>
        <v>200065.26</v>
      </c>
      <c r="P34">
        <f>H34-O34</f>
        <v>70651.75</v>
      </c>
      <c r="Q34">
        <f>Q33+P34</f>
        <v>-163781.41</v>
      </c>
      <c r="R34">
        <f>Q34+Assumptions!$B$53</f>
        <v>-163781.41</v>
      </c>
      <c r="S34">
        <f>SUMPRODUCT(--(Assumptions!$D$37:$D$46&lt;=A34))</f>
        <v>10</v>
      </c>
      <c r="T34">
        <f>C34*(INDEX(Assumptions!$B$22:$D$22,B34)+12*INDEX(Assumptions!$B$21:$D$21,B34))*Assumptions!$B$35</f>
        <v>26528.78</v>
      </c>
      <c r="U34">
        <f>INDEX(Assumptions!$B$52:$D$52,B34)</f>
        <v>8000</v>
      </c>
    </row>
    <row r="35">
      <c r="A35">
        <v>33</v>
      </c>
      <c r="B35">
        <f>INT((A35-1)/12)+1</f>
        <v>3</v>
      </c>
      <c r="C35">
        <f>IF(A35&lt;=Assumptions!$C$28,0,INDEX(Assumptions!$C$25:$C$27,B35))</f>
        <v>11.5</v>
      </c>
      <c r="D35">
        <f>E34*Assumptions!$B$29</f>
        <v>2.12</v>
      </c>
      <c r="E35">
        <f>E34+C35-D35</f>
        <v>150.81</v>
      </c>
      <c r="F35">
        <f>E35*INDEX(Assumptions!$B$21:$D$21,B35)</f>
        <v>238545.23</v>
      </c>
      <c r="G35">
        <f>C35*INDEX(Assumptions!$B$22:$D$22,B35)</f>
        <v>47006.25</v>
      </c>
      <c r="H35">
        <f>F35+G35</f>
        <v>285551.48</v>
      </c>
      <c r="I35">
        <f>F35*12</f>
        <v>2862542.76</v>
      </c>
      <c r="J35">
        <f>Assumptions!$B$33+E35*Assumptions!$B$32</f>
        <v>31662.19</v>
      </c>
      <c r="K35">
        <f>C35*Assumptions!$B$34</f>
        <v>40250</v>
      </c>
      <c r="L35">
        <f>SUMPRODUCT((Assumptions!$D$37:$D$46&lt;=A35)*Assumptions!$B$37:$B$46)/12*(1+Assumptions!$B$47)</f>
        <v>67500</v>
      </c>
      <c r="M35">
        <f>INDEX(Assumptions!$B$50:$D$50,B35)</f>
        <v>20000</v>
      </c>
      <c r="N35">
        <f>INDEX(Assumptions!$B$51:$D$51,B35)</f>
        <v>8000</v>
      </c>
      <c r="O35">
        <f>J35+K35+L35+M35+N35+T35+U35</f>
        <v>201940.97</v>
      </c>
      <c r="P35">
        <f>H35-O35</f>
        <v>83610.51</v>
      </c>
      <c r="Q35">
        <f>Q34+P35</f>
        <v>-80170.9</v>
      </c>
      <c r="R35">
        <f>Q35+Assumptions!$B$53</f>
        <v>-80170.9</v>
      </c>
      <c r="S35">
        <f>SUMPRODUCT(--(Assumptions!$D$37:$D$46&lt;=A35))</f>
        <v>10</v>
      </c>
      <c r="T35">
        <f>C35*(INDEX(Assumptions!$B$22:$D$22,B35)+12*INDEX(Assumptions!$B$21:$D$21,B35))*Assumptions!$B$35</f>
        <v>26528.78</v>
      </c>
      <c r="U35">
        <f>INDEX(Assumptions!$B$52:$D$52,B35)</f>
        <v>8000</v>
      </c>
    </row>
    <row r="36">
      <c r="A36">
        <v>34</v>
      </c>
      <c r="B36">
        <f>INT((A36-1)/12)+1</f>
        <v>3</v>
      </c>
      <c r="C36">
        <f>IF(A36&lt;=Assumptions!$C$28,0,INDEX(Assumptions!$C$25:$C$27,B36))</f>
        <v>11.5</v>
      </c>
      <c r="D36">
        <f>E35*Assumptions!$B$29</f>
        <v>2.26</v>
      </c>
      <c r="E36">
        <f>E35+C36-D36</f>
        <v>160.05</v>
      </c>
      <c r="F36">
        <f>E36*INDEX(Assumptions!$B$21:$D$21,B36)</f>
        <v>253157.18</v>
      </c>
      <c r="G36">
        <f>C36*INDEX(Assumptions!$B$22:$D$22,B36)</f>
        <v>47006.25</v>
      </c>
      <c r="H36">
        <f>F36+G36</f>
        <v>300163.43</v>
      </c>
      <c r="I36">
        <f>F36*12</f>
        <v>3037886.12</v>
      </c>
      <c r="J36">
        <f>Assumptions!$B$33+E36*Assumptions!$B$32</f>
        <v>33509.76</v>
      </c>
      <c r="K36">
        <f>C36*Assumptions!$B$34</f>
        <v>40250</v>
      </c>
      <c r="L36">
        <f>SUMPRODUCT((Assumptions!$D$37:$D$46&lt;=A36)*Assumptions!$B$37:$B$46)/12*(1+Assumptions!$B$47)</f>
        <v>67500</v>
      </c>
      <c r="M36">
        <f>INDEX(Assumptions!$B$50:$D$50,B36)</f>
        <v>20000</v>
      </c>
      <c r="N36">
        <f>INDEX(Assumptions!$B$51:$D$51,B36)</f>
        <v>8000</v>
      </c>
      <c r="O36">
        <f>J36+K36+L36+M36+N36+T36+U36</f>
        <v>203788.53</v>
      </c>
      <c r="P36">
        <f>H36-O36</f>
        <v>96374.89</v>
      </c>
      <c r="Q36">
        <f>Q35+P36</f>
        <v>16203.99</v>
      </c>
      <c r="R36">
        <f>Q36+Assumptions!$B$53</f>
        <v>16203.99</v>
      </c>
      <c r="S36">
        <f>SUMPRODUCT(--(Assumptions!$D$37:$D$46&lt;=A36))</f>
        <v>10</v>
      </c>
      <c r="T36">
        <f>C36*(INDEX(Assumptions!$B$22:$D$22,B36)+12*INDEX(Assumptions!$B$21:$D$21,B36))*Assumptions!$B$35</f>
        <v>26528.78</v>
      </c>
      <c r="U36">
        <f>INDEX(Assumptions!$B$52:$D$52,B36)</f>
        <v>8000</v>
      </c>
    </row>
    <row r="37">
      <c r="A37">
        <v>35</v>
      </c>
      <c r="B37">
        <f>INT((A37-1)/12)+1</f>
        <v>3</v>
      </c>
      <c r="C37">
        <f>IF(A37&lt;=Assumptions!$C$28,0,INDEX(Assumptions!$C$25:$C$27,B37))</f>
        <v>11.5</v>
      </c>
      <c r="D37">
        <f>E36*Assumptions!$B$29</f>
        <v>2.4</v>
      </c>
      <c r="E37">
        <f>E36+C37-D37</f>
        <v>169.15</v>
      </c>
      <c r="F37">
        <f>E37*INDEX(Assumptions!$B$21:$D$21,B37)</f>
        <v>267549.94</v>
      </c>
      <c r="G37">
        <f>C37*INDEX(Assumptions!$B$22:$D$22,B37)</f>
        <v>47006.25</v>
      </c>
      <c r="H37">
        <f>F37+G37</f>
        <v>314556.19</v>
      </c>
      <c r="I37">
        <f>F37*12</f>
        <v>3210599.32</v>
      </c>
      <c r="J37">
        <f>Assumptions!$B$33+E37*Assumptions!$B$32</f>
        <v>35329.61</v>
      </c>
      <c r="K37">
        <f>C37*Assumptions!$B$34</f>
        <v>40250</v>
      </c>
      <c r="L37">
        <f>SUMPRODUCT((Assumptions!$D$37:$D$46&lt;=A37)*Assumptions!$B$37:$B$46)/12*(1+Assumptions!$B$47)</f>
        <v>67500</v>
      </c>
      <c r="M37">
        <f>INDEX(Assumptions!$B$50:$D$50,B37)</f>
        <v>20000</v>
      </c>
      <c r="N37">
        <f>INDEX(Assumptions!$B$51:$D$51,B37)</f>
        <v>8000</v>
      </c>
      <c r="O37">
        <f>J37+K37+L37+M37+N37+T37+U37</f>
        <v>205608.39</v>
      </c>
      <c r="P37">
        <f>H37-O37</f>
        <v>108947.81</v>
      </c>
      <c r="Q37">
        <f>Q36+P37</f>
        <v>125151.8</v>
      </c>
      <c r="R37">
        <f>Q37+Assumptions!$B$53</f>
        <v>125151.8</v>
      </c>
      <c r="S37">
        <f>SUMPRODUCT(--(Assumptions!$D$37:$D$46&lt;=A37))</f>
        <v>10</v>
      </c>
      <c r="T37">
        <f>C37*(INDEX(Assumptions!$B$22:$D$22,B37)+12*INDEX(Assumptions!$B$21:$D$21,B37))*Assumptions!$B$35</f>
        <v>26528.78</v>
      </c>
      <c r="U37">
        <f>INDEX(Assumptions!$B$52:$D$52,B37)</f>
        <v>8000</v>
      </c>
    </row>
    <row r="38">
      <c r="A38">
        <v>36</v>
      </c>
      <c r="B38">
        <f>INT((A38-1)/12)+1</f>
        <v>3</v>
      </c>
      <c r="C38">
        <f>IF(A38&lt;=Assumptions!$C$28,0,INDEX(Assumptions!$C$25:$C$27,B38))</f>
        <v>11.5</v>
      </c>
      <c r="D38">
        <f>E37*Assumptions!$B$29</f>
        <v>2.54</v>
      </c>
      <c r="E38">
        <f>E37+C38-D38</f>
        <v>178.11</v>
      </c>
      <c r="F38">
        <f>E38*INDEX(Assumptions!$B$21:$D$21,B38)</f>
        <v>281726.82</v>
      </c>
      <c r="G38">
        <f>C38*INDEX(Assumptions!$B$22:$D$22,B38)</f>
        <v>47006.25</v>
      </c>
      <c r="H38">
        <f>F38+G38</f>
        <v>328733.07</v>
      </c>
      <c r="I38">
        <f>F38*12</f>
        <v>3380721.83</v>
      </c>
      <c r="J38">
        <f>Assumptions!$B$33+E38*Assumptions!$B$32</f>
        <v>37122.17</v>
      </c>
      <c r="K38">
        <f>C38*Assumptions!$B$34</f>
        <v>40250</v>
      </c>
      <c r="L38">
        <f>SUMPRODUCT((Assumptions!$D$37:$D$46&lt;=A38)*Assumptions!$B$37:$B$46)/12*(1+Assumptions!$B$47)</f>
        <v>67500</v>
      </c>
      <c r="M38">
        <f>INDEX(Assumptions!$B$50:$D$50,B38)</f>
        <v>20000</v>
      </c>
      <c r="N38">
        <f>INDEX(Assumptions!$B$51:$D$51,B38)</f>
        <v>8000</v>
      </c>
      <c r="O38">
        <f>J38+K38+L38+M38+N38+T38+U38</f>
        <v>207400.94</v>
      </c>
      <c r="P38">
        <f>H38-O38</f>
        <v>121332.13</v>
      </c>
      <c r="Q38">
        <f>Q37+P38</f>
        <v>246483.93</v>
      </c>
      <c r="R38">
        <f>Q38+Assumptions!$B$53</f>
        <v>246483.93</v>
      </c>
      <c r="S38">
        <f>SUMPRODUCT(--(Assumptions!$D$37:$D$46&lt;=A38))</f>
        <v>10</v>
      </c>
      <c r="T38">
        <f>C38*(INDEX(Assumptions!$B$22:$D$22,B38)+12*INDEX(Assumptions!$B$21:$D$21,B38))*Assumptions!$B$35</f>
        <v>26528.78</v>
      </c>
      <c r="U38">
        <f>INDEX(Assumptions!$B$52:$D$52,B38)</f>
        <v>8000</v>
      </c>
    </row>
    <row r="40">
      <c r="A40" t="str">
        <v>Annual summary</v>
      </c>
    </row>
    <row r="41">
      <c r="A41" t="str">
        <v>Year</v>
      </c>
      <c r="B41" t="str">
        <v/>
      </c>
      <c r="C41" t="str">
        <v>New sites</v>
      </c>
      <c r="D41" t="str">
        <v>Churned</v>
      </c>
      <c r="E41" t="str">
        <v>Sites at year end</v>
      </c>
      <c r="F41" t="str">
        <v>Subscription revenue</v>
      </c>
      <c r="G41" t="str">
        <v>Setup revenue</v>
      </c>
      <c r="H41" t="str">
        <v>Total revenue</v>
      </c>
      <c r="I41" t="str">
        <v>ARR exit rate</v>
      </c>
      <c r="J41" t="str">
        <v>Model + hosting</v>
      </c>
      <c r="K41" t="str">
        <v>Onboarding</v>
      </c>
      <c r="L41" t="str">
        <v>Staff</v>
      </c>
      <c r="M41" t="str">
        <v>Sales &amp; marketing</v>
      </c>
      <c r="N41" t="str">
        <v>Overheads</v>
      </c>
      <c r="O41" t="str">
        <v>Total costs</v>
      </c>
      <c r="P41" t="str">
        <v>EBITDA</v>
      </c>
      <c r="Q41" t="str">
        <v>Cumulative EBITDA (end)</v>
      </c>
      <c r="R41" t="str">
        <v>Cash (end)</v>
      </c>
      <c r="S41" t="str">
        <v>Headcount (end)</v>
      </c>
      <c r="T41" t="str">
        <v>Sales commission</v>
      </c>
      <c r="U41" t="str">
        <v>Contractors</v>
      </c>
    </row>
    <row r="42">
      <c r="A42">
        <v>1</v>
      </c>
      <c r="C42">
        <f>SUMIF($B$3:$B$38,A42,C$3:C$38)</f>
        <v>14.4</v>
      </c>
      <c r="D42">
        <f>SUMIF($B$3:$B$38,A42,D$3:D$38)</f>
        <v>0.83</v>
      </c>
      <c r="E42">
        <f>E14</f>
        <v>13.57</v>
      </c>
      <c r="F42">
        <f>SUMIF($B$3:$B$38,A42,F$3:F$38)</f>
        <v>85939.27</v>
      </c>
      <c r="G42">
        <f>SUMIF($B$3:$B$38,A42,G$3:G$38)</f>
        <v>66600</v>
      </c>
      <c r="H42">
        <f>SUMIF($B$3:$B$38,A42,H$3:H$38)</f>
        <v>152539.27</v>
      </c>
      <c r="I42">
        <f>I14</f>
        <v>202181.25</v>
      </c>
      <c r="J42">
        <f>SUMIF($B$3:$B$38,A42,J$3:J$38)</f>
        <v>31838.85</v>
      </c>
      <c r="K42">
        <f>SUMIF($B$3:$B$38,A42,K$3:K$38)</f>
        <v>50400</v>
      </c>
      <c r="L42">
        <f>SUMIF($B$3:$B$38,A42,L$3:L$38)</f>
        <v>282000</v>
      </c>
      <c r="M42">
        <f>SUMIF($B$3:$B$38,A42,M$3:M$38)</f>
        <v>48000</v>
      </c>
      <c r="N42">
        <f>SUMIF($B$3:$B$38,A42,N$3:N$38)</f>
        <v>36000</v>
      </c>
      <c r="O42">
        <f>SUMIF($B$3:$B$38,A42,O$3:O$38)</f>
        <v>524360.61</v>
      </c>
      <c r="P42">
        <f>SUMIF($B$3:$B$38,A42,P$3:P$38)</f>
        <v>-371821.35</v>
      </c>
      <c r="Q42">
        <f>Q14</f>
        <v>-371821.35</v>
      </c>
      <c r="R42">
        <f>R14</f>
        <v>-371821.35</v>
      </c>
      <c r="S42">
        <f>S14</f>
        <v>3</v>
      </c>
      <c r="T42">
        <f>SUMIF($B$3:$B$38,A42,T$3:T$38)</f>
        <v>28121.76</v>
      </c>
      <c r="U42">
        <f>SUMIF($B$3:$B$38,A42,U$3:U$38)</f>
        <v>48000</v>
      </c>
    </row>
    <row r="43">
      <c r="A43">
        <v>2</v>
      </c>
      <c r="C43">
        <f>SUMIF($B$3:$B$38,A43,C$3:C$38)</f>
        <v>54</v>
      </c>
      <c r="D43">
        <f>SUMIF($B$3:$B$38,A43,D$3:D$38)</f>
        <v>6.49</v>
      </c>
      <c r="E43">
        <f>E26</f>
        <v>61.08</v>
      </c>
      <c r="F43">
        <f>SUMIF($B$3:$B$38,A43,F$3:F$38)</f>
        <v>729837.08</v>
      </c>
      <c r="G43">
        <f>SUMIF($B$3:$B$38,A43,G$3:G$38)</f>
        <v>227025</v>
      </c>
      <c r="H43">
        <f>SUMIF($B$3:$B$38,A43,H$3:H$38)</f>
        <v>956862.08</v>
      </c>
      <c r="I43">
        <f>I26</f>
        <v>1114024.14</v>
      </c>
      <c r="J43">
        <f>SUMIF($B$3:$B$38,A43,J$3:J$38)</f>
        <v>114031.19</v>
      </c>
      <c r="K43">
        <f>SUMIF($B$3:$B$38,A43,K$3:K$38)</f>
        <v>189000</v>
      </c>
      <c r="L43">
        <f>SUMIF($B$3:$B$38,A43,L$3:L$38)</f>
        <v>402000</v>
      </c>
      <c r="M43">
        <f>SUMIF($B$3:$B$38,A43,M$3:M$38)</f>
        <v>120000</v>
      </c>
      <c r="N43">
        <f>SUMIF($B$3:$B$38,A43,N$3:N$38)</f>
        <v>60000</v>
      </c>
      <c r="O43">
        <f>SUMIF($B$3:$B$38,A43,O$3:O$38)</f>
        <v>1078229.69</v>
      </c>
      <c r="P43">
        <f>SUMIF($B$3:$B$38,A43,P$3:P$38)</f>
        <v>-121367.62</v>
      </c>
      <c r="Q43">
        <f>Q26</f>
        <v>-493188.96</v>
      </c>
      <c r="R43">
        <f>R26</f>
        <v>-493188.96</v>
      </c>
      <c r="S43">
        <f>S26</f>
        <v>6</v>
      </c>
      <c r="T43">
        <f>SUMIF($B$3:$B$38,A43,T$3:T$38)</f>
        <v>121198.5</v>
      </c>
      <c r="U43">
        <f>SUMIF($B$3:$B$38,A43,U$3:U$38)</f>
        <v>72000</v>
      </c>
    </row>
    <row r="44">
      <c r="A44">
        <v>3</v>
      </c>
      <c r="C44">
        <f>SUMIF($B$3:$B$38,A44,C$3:C$38)</f>
        <v>138</v>
      </c>
      <c r="D44">
        <f>SUMIF($B$3:$B$38,A44,D$3:D$38)</f>
        <v>20.97</v>
      </c>
      <c r="E44">
        <f>E38</f>
        <v>178.11</v>
      </c>
      <c r="F44">
        <f>SUMIF($B$3:$B$38,A44,F$3:F$38)</f>
        <v>2395884.13</v>
      </c>
      <c r="G44">
        <f>SUMIF($B$3:$B$38,A44,G$3:G$38)</f>
        <v>564075</v>
      </c>
      <c r="H44">
        <f>SUMIF($B$3:$B$38,A44,H$3:H$38)</f>
        <v>2959959.13</v>
      </c>
      <c r="I44">
        <f>I38</f>
        <v>3380721.83</v>
      </c>
      <c r="J44">
        <f>SUMIF($B$3:$B$38,A44,J$3:J$38)</f>
        <v>320940.94</v>
      </c>
      <c r="K44">
        <f>SUMIF($B$3:$B$38,A44,K$3:K$38)</f>
        <v>483000</v>
      </c>
      <c r="L44">
        <f>SUMIF($B$3:$B$38,A44,L$3:L$38)</f>
        <v>666000</v>
      </c>
      <c r="M44">
        <f>SUMIF($B$3:$B$38,A44,M$3:M$38)</f>
        <v>240000</v>
      </c>
      <c r="N44">
        <f>SUMIF($B$3:$B$38,A44,N$3:N$38)</f>
        <v>96000</v>
      </c>
      <c r="O44">
        <f>SUMIF($B$3:$B$38,A44,O$3:O$38)</f>
        <v>2220286.24</v>
      </c>
      <c r="P44">
        <f>SUMIF($B$3:$B$38,A44,P$3:P$38)</f>
        <v>739672.89</v>
      </c>
      <c r="Q44">
        <f>Q38</f>
        <v>246483.93</v>
      </c>
      <c r="R44">
        <f>R38</f>
        <v>246483.93</v>
      </c>
      <c r="S44">
        <f>S38</f>
        <v>10</v>
      </c>
      <c r="T44">
        <f>SUMIF($B$3:$B$38,A44,T$3:T$38)</f>
        <v>318345.3</v>
      </c>
      <c r="U44">
        <f>SUMIF($B$3:$B$38,A44,U$3:U$38)</f>
        <v>96000</v>
      </c>
    </row>
    <row r="46">
      <c r="A46" t="str">
        <v>Peak funding need (minimum cumulative EBITDA, before any funding)</v>
      </c>
      <c r="Q46">
        <f>MIN(Q3:Q38)</f>
        <v>-503764.31</v>
      </c>
    </row>
    <row r="47">
      <c r="A47" t="str">
        <v>First month with positive EBITDA</v>
      </c>
      <c r="Q47">
        <f>IFERROR(INDEX(A3:A38,MATCH(TRUE,INDEX(P3:P38&gt;0,0),0)),0)</f>
        <v>23</v>
      </c>
    </row>
  </sheetData>
  <ignoredErrors>
    <ignoredError numberStoredAsText="1" sqref="A1:U47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U47"/>
  <sheetViews>
    <sheetView workbookViewId="0"/>
  </sheetViews>
  <cols>
    <col min="1" max="1" width="8.83203125" customWidth="1"/>
    <col min="2" max="2" width="6.83203125" customWidth="1"/>
    <col min="3" max="3" width="16.83203125" customWidth="1"/>
    <col min="4" max="4" width="16.83203125" customWidth="1"/>
    <col min="5" max="5" width="16.83203125" customWidth="1"/>
    <col min="6" max="6" width="16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  <col min="16" max="16" width="16.83203125" customWidth="1"/>
    <col min="17" max="17" width="16.83203125" customWidth="1"/>
    <col min="18" max="18" width="16.83203125" customWidth="1"/>
    <col min="19" max="19" width="16.83203125" customWidth="1"/>
    <col min="20" max="20" width="16.83203125" customWidth="1"/>
    <col min="21" max="21" width="16.83203125" customWidth="1"/>
  </cols>
  <sheetData>
    <row r="1">
      <c r="A1" t="str">
        <v>OmegAi — Bull case, monthly, 36 months. Illustrative, founder assumptions, September 2026. All inputs on the Assumptions sheet.</v>
      </c>
    </row>
    <row r="2">
      <c r="A2" t="str">
        <v>Month</v>
      </c>
      <c r="B2" t="str">
        <v>Year</v>
      </c>
      <c r="C2" t="str">
        <v>New sites</v>
      </c>
      <c r="D2" t="str">
        <v>Churned sites</v>
      </c>
      <c r="E2" t="str">
        <v>Active sites (end)</v>
      </c>
      <c r="F2" t="str">
        <v>Subscription revenue</v>
      </c>
      <c r="G2" t="str">
        <v>Setup revenue</v>
      </c>
      <c r="H2" t="str">
        <v>Total revenue</v>
      </c>
      <c r="I2" t="str">
        <v>ARR (exit rate)</v>
      </c>
      <c r="J2" t="str">
        <v>Model + hosting</v>
      </c>
      <c r="K2" t="str">
        <v>Onboarding cost</v>
      </c>
      <c r="L2" t="str">
        <v>Staff cost</v>
      </c>
      <c r="M2" t="str">
        <v>Sales &amp; marketing</v>
      </c>
      <c r="N2" t="str">
        <v>Overheads</v>
      </c>
      <c r="O2" t="str">
        <v>Total costs</v>
      </c>
      <c r="P2" t="str">
        <v>EBITDA</v>
      </c>
      <c r="Q2" t="str">
        <v>Cumulative EBITDA</v>
      </c>
      <c r="R2" t="str">
        <v>Cash incl. funding</v>
      </c>
      <c r="S2" t="str">
        <v>Headcount</v>
      </c>
      <c r="T2" t="str">
        <v>Sales commission</v>
      </c>
      <c r="U2" t="str">
        <v>Contractors</v>
      </c>
    </row>
    <row r="3">
      <c r="A3">
        <v>1</v>
      </c>
      <c r="B3">
        <f>INT((A3-1)/12)+1</f>
        <v>1</v>
      </c>
      <c r="C3">
        <f>IF(A3&lt;=Assumptions!$D$28,0,INDEX(Assumptions!$D$25:$D$27,B3))</f>
        <v>0</v>
      </c>
      <c r="D3">
        <f>0</f>
        <v>0</v>
      </c>
      <c r="E3">
        <f>C3-D3</f>
        <v>0</v>
      </c>
      <c r="F3">
        <f>E3*INDEX(Assumptions!$B$21:$D$21,B3)</f>
        <v>0</v>
      </c>
      <c r="G3">
        <f>C3*INDEX(Assumptions!$B$22:$D$22,B3)</f>
        <v>0</v>
      </c>
      <c r="H3">
        <f>F3+G3</f>
        <v>0</v>
      </c>
      <c r="I3">
        <f>F3*12</f>
        <v>0</v>
      </c>
      <c r="J3">
        <f>Assumptions!$B$33+E3*Assumptions!$B$32</f>
        <v>1500</v>
      </c>
      <c r="K3">
        <f>C3*Assumptions!$B$34</f>
        <v>0</v>
      </c>
      <c r="L3">
        <f>SUMPRODUCT((Assumptions!$E$37:$E$46&lt;=A3)*Assumptions!$B$37:$B$46)/12*(1+Assumptions!$B$47)</f>
        <v>23500</v>
      </c>
      <c r="M3">
        <f>INDEX(Assumptions!$B$50:$D$50,B3)</f>
        <v>4000</v>
      </c>
      <c r="N3">
        <f>INDEX(Assumptions!$B$51:$D$51,B3)</f>
        <v>3000</v>
      </c>
      <c r="O3">
        <f>J3+K3+L3+M3+N3+T3+U3</f>
        <v>36000</v>
      </c>
      <c r="P3">
        <f>H3-O3</f>
        <v>-36000</v>
      </c>
      <c r="Q3">
        <f>P3</f>
        <v>-36000</v>
      </c>
      <c r="R3">
        <f>Q3+Assumptions!$B$53</f>
        <v>-36000</v>
      </c>
      <c r="S3">
        <f>SUMPRODUCT(--(Assumptions!$E$37:$E$46&lt;=A3))</f>
        <v>3</v>
      </c>
      <c r="T3">
        <f>C3*(INDEX(Assumptions!$B$22:$D$22,B3)+12*INDEX(Assumptions!$B$21:$D$21,B3))*Assumptions!$B$35</f>
        <v>0</v>
      </c>
      <c r="U3">
        <f>INDEX(Assumptions!$B$52:$D$52,B3)</f>
        <v>4000</v>
      </c>
    </row>
    <row r="4">
      <c r="A4">
        <v>2</v>
      </c>
      <c r="B4">
        <f>INT((A4-1)/12)+1</f>
        <v>1</v>
      </c>
      <c r="C4">
        <f>IF(A4&lt;=Assumptions!$D$28,0,INDEX(Assumptions!$D$25:$D$27,B4))</f>
        <v>0</v>
      </c>
      <c r="D4">
        <f>E3*Assumptions!$B$29</f>
        <v>0</v>
      </c>
      <c r="E4">
        <f>E3+C4-D4</f>
        <v>0</v>
      </c>
      <c r="F4">
        <f>E4*INDEX(Assumptions!$B$21:$D$21,B4)</f>
        <v>0</v>
      </c>
      <c r="G4">
        <f>C4*INDEX(Assumptions!$B$22:$D$22,B4)</f>
        <v>0</v>
      </c>
      <c r="H4">
        <f>F4+G4</f>
        <v>0</v>
      </c>
      <c r="I4">
        <f>F4*12</f>
        <v>0</v>
      </c>
      <c r="J4">
        <f>Assumptions!$B$33+E4*Assumptions!$B$32</f>
        <v>1500</v>
      </c>
      <c r="K4">
        <f>C4*Assumptions!$B$34</f>
        <v>0</v>
      </c>
      <c r="L4">
        <f>SUMPRODUCT((Assumptions!$E$37:$E$46&lt;=A4)*Assumptions!$B$37:$B$46)/12*(1+Assumptions!$B$47)</f>
        <v>23500</v>
      </c>
      <c r="M4">
        <f>INDEX(Assumptions!$B$50:$D$50,B4)</f>
        <v>4000</v>
      </c>
      <c r="N4">
        <f>INDEX(Assumptions!$B$51:$D$51,B4)</f>
        <v>3000</v>
      </c>
      <c r="O4">
        <f>J4+K4+L4+M4+N4+T4+U4</f>
        <v>36000</v>
      </c>
      <c r="P4">
        <f>H4-O4</f>
        <v>-36000</v>
      </c>
      <c r="Q4">
        <f>Q3+P4</f>
        <v>-72000</v>
      </c>
      <c r="R4">
        <f>Q4+Assumptions!$B$53</f>
        <v>-72000</v>
      </c>
      <c r="S4">
        <f>SUMPRODUCT(--(Assumptions!$E$37:$E$46&lt;=A4))</f>
        <v>3</v>
      </c>
      <c r="T4">
        <f>C4*(INDEX(Assumptions!$B$22:$D$22,B4)+12*INDEX(Assumptions!$B$21:$D$21,B4))*Assumptions!$B$35</f>
        <v>0</v>
      </c>
      <c r="U4">
        <f>INDEX(Assumptions!$B$52:$D$52,B4)</f>
        <v>4000</v>
      </c>
    </row>
    <row r="5">
      <c r="A5">
        <v>3</v>
      </c>
      <c r="B5">
        <f>INT((A5-1)/12)+1</f>
        <v>1</v>
      </c>
      <c r="C5">
        <f>IF(A5&lt;=Assumptions!$D$28,0,INDEX(Assumptions!$D$25:$D$27,B5))</f>
        <v>6.5</v>
      </c>
      <c r="D5">
        <f>E4*Assumptions!$B$29</f>
        <v>0</v>
      </c>
      <c r="E5">
        <f>E4+C5-D5</f>
        <v>6.5</v>
      </c>
      <c r="F5">
        <f>E5*INDEX(Assumptions!$B$21:$D$21,B5)</f>
        <v>8073</v>
      </c>
      <c r="G5">
        <f>C5*INDEX(Assumptions!$B$22:$D$22,B5)</f>
        <v>30062.5</v>
      </c>
      <c r="H5">
        <f>F5+G5</f>
        <v>38135.5</v>
      </c>
      <c r="I5">
        <f>F5*12</f>
        <v>96876</v>
      </c>
      <c r="J5">
        <f>Assumptions!$B$33+E5*Assumptions!$B$32</f>
        <v>2800</v>
      </c>
      <c r="K5">
        <f>C5*Assumptions!$B$34</f>
        <v>22750</v>
      </c>
      <c r="L5">
        <f>SUMPRODUCT((Assumptions!$E$37:$E$46&lt;=A5)*Assumptions!$B$37:$B$46)/12*(1+Assumptions!$B$47)</f>
        <v>23500</v>
      </c>
      <c r="M5">
        <f>INDEX(Assumptions!$B$50:$D$50,B5)</f>
        <v>4000</v>
      </c>
      <c r="N5">
        <f>INDEX(Assumptions!$B$51:$D$51,B5)</f>
        <v>3000</v>
      </c>
      <c r="O5">
        <f>J5+K5+L5+M5+N5+T5+U5</f>
        <v>72743.85</v>
      </c>
      <c r="P5">
        <f>H5-O5</f>
        <v>-34608.35</v>
      </c>
      <c r="Q5">
        <f>Q4+P5</f>
        <v>-106608.35</v>
      </c>
      <c r="R5">
        <f>Q5+Assumptions!$B$53</f>
        <v>-106608.35</v>
      </c>
      <c r="S5">
        <f>SUMPRODUCT(--(Assumptions!$E$37:$E$46&lt;=A5))</f>
        <v>3</v>
      </c>
      <c r="T5">
        <f>C5*(INDEX(Assumptions!$B$22:$D$22,B5)+12*INDEX(Assumptions!$B$21:$D$21,B5))*Assumptions!$B$35</f>
        <v>12693.85</v>
      </c>
      <c r="U5">
        <f>INDEX(Assumptions!$B$52:$D$52,B5)</f>
        <v>4000</v>
      </c>
    </row>
    <row r="6">
      <c r="A6">
        <v>4</v>
      </c>
      <c r="B6">
        <f>INT((A6-1)/12)+1</f>
        <v>1</v>
      </c>
      <c r="C6">
        <f>IF(A6&lt;=Assumptions!$D$28,0,INDEX(Assumptions!$D$25:$D$27,B6))</f>
        <v>6.5</v>
      </c>
      <c r="D6">
        <f>E5*Assumptions!$B$29</f>
        <v>0.1</v>
      </c>
      <c r="E6">
        <f>E5+C6-D6</f>
        <v>12.9</v>
      </c>
      <c r="F6">
        <f>E6*INDEX(Assumptions!$B$21:$D$21,B6)</f>
        <v>16024.91</v>
      </c>
      <c r="G6">
        <f>C6*INDEX(Assumptions!$B$22:$D$22,B6)</f>
        <v>30062.5</v>
      </c>
      <c r="H6">
        <f>F6+G6</f>
        <v>46087.41</v>
      </c>
      <c r="I6">
        <f>F6*12</f>
        <v>192298.86</v>
      </c>
      <c r="J6">
        <f>Assumptions!$B$33+E6*Assumptions!$B$32</f>
        <v>4080.5</v>
      </c>
      <c r="K6">
        <f>C6*Assumptions!$B$34</f>
        <v>22750</v>
      </c>
      <c r="L6">
        <f>SUMPRODUCT((Assumptions!$E$37:$E$46&lt;=A6)*Assumptions!$B$37:$B$46)/12*(1+Assumptions!$B$47)</f>
        <v>23500</v>
      </c>
      <c r="M6">
        <f>INDEX(Assumptions!$B$50:$D$50,B6)</f>
        <v>4000</v>
      </c>
      <c r="N6">
        <f>INDEX(Assumptions!$B$51:$D$51,B6)</f>
        <v>3000</v>
      </c>
      <c r="O6">
        <f>J6+K6+L6+M6+N6+T6+U6</f>
        <v>74024.35</v>
      </c>
      <c r="P6">
        <f>H6-O6</f>
        <v>-27936.94</v>
      </c>
      <c r="Q6">
        <f>Q5+P6</f>
        <v>-134545.29</v>
      </c>
      <c r="R6">
        <f>Q6+Assumptions!$B$53</f>
        <v>-134545.29</v>
      </c>
      <c r="S6">
        <f>SUMPRODUCT(--(Assumptions!$E$37:$E$46&lt;=A6))</f>
        <v>3</v>
      </c>
      <c r="T6">
        <f>C6*(INDEX(Assumptions!$B$22:$D$22,B6)+12*INDEX(Assumptions!$B$21:$D$21,B6))*Assumptions!$B$35</f>
        <v>12693.85</v>
      </c>
      <c r="U6">
        <f>INDEX(Assumptions!$B$52:$D$52,B6)</f>
        <v>4000</v>
      </c>
    </row>
    <row r="7">
      <c r="A7">
        <v>5</v>
      </c>
      <c r="B7">
        <f>INT((A7-1)/12)+1</f>
        <v>1</v>
      </c>
      <c r="C7">
        <f>IF(A7&lt;=Assumptions!$D$28,0,INDEX(Assumptions!$D$25:$D$27,B7))</f>
        <v>6.5</v>
      </c>
      <c r="D7">
        <f>E6*Assumptions!$B$29</f>
        <v>0.19</v>
      </c>
      <c r="E7">
        <f>E6+C7-D7</f>
        <v>19.21</v>
      </c>
      <c r="F7">
        <f>E7*INDEX(Assumptions!$B$21:$D$21,B7)</f>
        <v>23857.53</v>
      </c>
      <c r="G7">
        <f>C7*INDEX(Assumptions!$B$22:$D$22,B7)</f>
        <v>30062.5</v>
      </c>
      <c r="H7">
        <f>F7+G7</f>
        <v>53920.03</v>
      </c>
      <c r="I7">
        <f>F7*12</f>
        <v>286290.38</v>
      </c>
      <c r="J7">
        <f>Assumptions!$B$33+E7*Assumptions!$B$32</f>
        <v>5341.79</v>
      </c>
      <c r="K7">
        <f>C7*Assumptions!$B$34</f>
        <v>22750</v>
      </c>
      <c r="L7">
        <f>SUMPRODUCT((Assumptions!$E$37:$E$46&lt;=A7)*Assumptions!$B$37:$B$46)/12*(1+Assumptions!$B$47)</f>
        <v>23500</v>
      </c>
      <c r="M7">
        <f>INDEX(Assumptions!$B$50:$D$50,B7)</f>
        <v>4000</v>
      </c>
      <c r="N7">
        <f>INDEX(Assumptions!$B$51:$D$51,B7)</f>
        <v>3000</v>
      </c>
      <c r="O7">
        <f>J7+K7+L7+M7+N7+T7+U7</f>
        <v>75285.64</v>
      </c>
      <c r="P7">
        <f>H7-O7</f>
        <v>-21365.61</v>
      </c>
      <c r="Q7">
        <f>Q6+P7</f>
        <v>-155910.91</v>
      </c>
      <c r="R7">
        <f>Q7+Assumptions!$B$53</f>
        <v>-155910.91</v>
      </c>
      <c r="S7">
        <f>SUMPRODUCT(--(Assumptions!$E$37:$E$46&lt;=A7))</f>
        <v>3</v>
      </c>
      <c r="T7">
        <f>C7*(INDEX(Assumptions!$B$22:$D$22,B7)+12*INDEX(Assumptions!$B$21:$D$21,B7))*Assumptions!$B$35</f>
        <v>12693.85</v>
      </c>
      <c r="U7">
        <f>INDEX(Assumptions!$B$52:$D$52,B7)</f>
        <v>4000</v>
      </c>
    </row>
    <row r="8">
      <c r="A8">
        <v>6</v>
      </c>
      <c r="B8">
        <f>INT((A8-1)/12)+1</f>
        <v>1</v>
      </c>
      <c r="C8">
        <f>IF(A8&lt;=Assumptions!$D$28,0,INDEX(Assumptions!$D$25:$D$27,B8))</f>
        <v>6.5</v>
      </c>
      <c r="D8">
        <f>E7*Assumptions!$B$29</f>
        <v>0.29</v>
      </c>
      <c r="E8">
        <f>E7+C8-D8</f>
        <v>25.42</v>
      </c>
      <c r="F8">
        <f>E8*INDEX(Assumptions!$B$21:$D$21,B8)</f>
        <v>31572.67</v>
      </c>
      <c r="G8">
        <f>C8*INDEX(Assumptions!$B$22:$D$22,B8)</f>
        <v>30062.5</v>
      </c>
      <c r="H8">
        <f>F8+G8</f>
        <v>61635.17</v>
      </c>
      <c r="I8">
        <f>F8*12</f>
        <v>378872.02</v>
      </c>
      <c r="J8">
        <f>Assumptions!$B$33+E8*Assumptions!$B$32</f>
        <v>6584.17</v>
      </c>
      <c r="K8">
        <f>C8*Assumptions!$B$34</f>
        <v>22750</v>
      </c>
      <c r="L8">
        <f>SUMPRODUCT((Assumptions!$E$37:$E$46&lt;=A8)*Assumptions!$B$37:$B$46)/12*(1+Assumptions!$B$47)</f>
        <v>23500</v>
      </c>
      <c r="M8">
        <f>INDEX(Assumptions!$B$50:$D$50,B8)</f>
        <v>4000</v>
      </c>
      <c r="N8">
        <f>INDEX(Assumptions!$B$51:$D$51,B8)</f>
        <v>3000</v>
      </c>
      <c r="O8">
        <f>J8+K8+L8+M8+N8+T8+U8</f>
        <v>76528.02</v>
      </c>
      <c r="P8">
        <f>H8-O8</f>
        <v>-14892.85</v>
      </c>
      <c r="Q8">
        <f>Q7+P8</f>
        <v>-170803.75</v>
      </c>
      <c r="R8">
        <f>Q8+Assumptions!$B$53</f>
        <v>-170803.75</v>
      </c>
      <c r="S8">
        <f>SUMPRODUCT(--(Assumptions!$E$37:$E$46&lt;=A8))</f>
        <v>3</v>
      </c>
      <c r="T8">
        <f>C8*(INDEX(Assumptions!$B$22:$D$22,B8)+12*INDEX(Assumptions!$B$21:$D$21,B8))*Assumptions!$B$35</f>
        <v>12693.85</v>
      </c>
      <c r="U8">
        <f>INDEX(Assumptions!$B$52:$D$52,B8)</f>
        <v>4000</v>
      </c>
    </row>
    <row r="9">
      <c r="A9">
        <v>7</v>
      </c>
      <c r="B9">
        <f>INT((A9-1)/12)+1</f>
        <v>1</v>
      </c>
      <c r="C9">
        <f>IF(A9&lt;=Assumptions!$D$28,0,INDEX(Assumptions!$D$25:$D$27,B9))</f>
        <v>6.5</v>
      </c>
      <c r="D9">
        <f>E8*Assumptions!$B$29</f>
        <v>0.38</v>
      </c>
      <c r="E9">
        <f>E8+C9-D9</f>
        <v>31.54</v>
      </c>
      <c r="F9">
        <f>E9*INDEX(Assumptions!$B$21:$D$21,B9)</f>
        <v>39172.08</v>
      </c>
      <c r="G9">
        <f>C9*INDEX(Assumptions!$B$22:$D$22,B9)</f>
        <v>30062.5</v>
      </c>
      <c r="H9">
        <f>F9+G9</f>
        <v>69234.58</v>
      </c>
      <c r="I9">
        <f>F9*12</f>
        <v>470064.94</v>
      </c>
      <c r="J9">
        <f>Assumptions!$B$33+E9*Assumptions!$B$32</f>
        <v>7807.9</v>
      </c>
      <c r="K9">
        <f>C9*Assumptions!$B$34</f>
        <v>22750</v>
      </c>
      <c r="L9">
        <f>SUMPRODUCT((Assumptions!$E$37:$E$46&lt;=A9)*Assumptions!$B$37:$B$46)/12*(1+Assumptions!$B$47)</f>
        <v>23500</v>
      </c>
      <c r="M9">
        <f>INDEX(Assumptions!$B$50:$D$50,B9)</f>
        <v>4000</v>
      </c>
      <c r="N9">
        <f>INDEX(Assumptions!$B$51:$D$51,B9)</f>
        <v>3000</v>
      </c>
      <c r="O9">
        <f>J9+K9+L9+M9+N9+T9+U9</f>
        <v>77751.75</v>
      </c>
      <c r="P9">
        <f>H9-O9</f>
        <v>-8517.17</v>
      </c>
      <c r="Q9">
        <f>Q8+P9</f>
        <v>-179320.93</v>
      </c>
      <c r="R9">
        <f>Q9+Assumptions!$B$53</f>
        <v>-179320.93</v>
      </c>
      <c r="S9">
        <f>SUMPRODUCT(--(Assumptions!$E$37:$E$46&lt;=A9))</f>
        <v>3</v>
      </c>
      <c r="T9">
        <f>C9*(INDEX(Assumptions!$B$22:$D$22,B9)+12*INDEX(Assumptions!$B$21:$D$21,B9))*Assumptions!$B$35</f>
        <v>12693.85</v>
      </c>
      <c r="U9">
        <f>INDEX(Assumptions!$B$52:$D$52,B9)</f>
        <v>4000</v>
      </c>
    </row>
    <row r="10">
      <c r="A10">
        <v>8</v>
      </c>
      <c r="B10">
        <f>INT((A10-1)/12)+1</f>
        <v>1</v>
      </c>
      <c r="C10">
        <f>IF(A10&lt;=Assumptions!$D$28,0,INDEX(Assumptions!$D$25:$D$27,B10))</f>
        <v>6.5</v>
      </c>
      <c r="D10">
        <f>E9*Assumptions!$B$29</f>
        <v>0.47</v>
      </c>
      <c r="E10">
        <f>E9+C10-D10</f>
        <v>37.57</v>
      </c>
      <c r="F10">
        <f>E10*INDEX(Assumptions!$B$21:$D$21,B10)</f>
        <v>46657.5</v>
      </c>
      <c r="G10">
        <f>C10*INDEX(Assumptions!$B$22:$D$22,B10)</f>
        <v>30062.5</v>
      </c>
      <c r="H10">
        <f>F10+G10</f>
        <v>76720</v>
      </c>
      <c r="I10">
        <f>F10*12</f>
        <v>559889.97</v>
      </c>
      <c r="J10">
        <f>Assumptions!$B$33+E10*Assumptions!$B$32</f>
        <v>9013.28</v>
      </c>
      <c r="K10">
        <f>C10*Assumptions!$B$34</f>
        <v>22750</v>
      </c>
      <c r="L10">
        <f>SUMPRODUCT((Assumptions!$E$37:$E$46&lt;=A10)*Assumptions!$B$37:$B$46)/12*(1+Assumptions!$B$47)</f>
        <v>23500</v>
      </c>
      <c r="M10">
        <f>INDEX(Assumptions!$B$50:$D$50,B10)</f>
        <v>4000</v>
      </c>
      <c r="N10">
        <f>INDEX(Assumptions!$B$51:$D$51,B10)</f>
        <v>3000</v>
      </c>
      <c r="O10">
        <f>J10+K10+L10+M10+N10+T10+U10</f>
        <v>78957.13</v>
      </c>
      <c r="P10">
        <f>H10-O10</f>
        <v>-2237.14</v>
      </c>
      <c r="Q10">
        <f>Q9+P10</f>
        <v>-181558.07</v>
      </c>
      <c r="R10">
        <f>Q10+Assumptions!$B$53</f>
        <v>-181558.07</v>
      </c>
      <c r="S10">
        <f>SUMPRODUCT(--(Assumptions!$E$37:$E$46&lt;=A10))</f>
        <v>3</v>
      </c>
      <c r="T10">
        <f>C10*(INDEX(Assumptions!$B$22:$D$22,B10)+12*INDEX(Assumptions!$B$21:$D$21,B10))*Assumptions!$B$35</f>
        <v>12693.85</v>
      </c>
      <c r="U10">
        <f>INDEX(Assumptions!$B$52:$D$52,B10)</f>
        <v>4000</v>
      </c>
    </row>
    <row r="11">
      <c r="A11">
        <v>9</v>
      </c>
      <c r="B11">
        <f>INT((A11-1)/12)+1</f>
        <v>1</v>
      </c>
      <c r="C11">
        <f>IF(A11&lt;=Assumptions!$D$28,0,INDEX(Assumptions!$D$25:$D$27,B11))</f>
        <v>6.5</v>
      </c>
      <c r="D11">
        <f>E10*Assumptions!$B$29</f>
        <v>0.56</v>
      </c>
      <c r="E11">
        <f>E10+C11-D11</f>
        <v>43.5</v>
      </c>
      <c r="F11">
        <f>E11*INDEX(Assumptions!$B$21:$D$21,B11)</f>
        <v>54030.63</v>
      </c>
      <c r="G11">
        <f>C11*INDEX(Assumptions!$B$22:$D$22,B11)</f>
        <v>30062.5</v>
      </c>
      <c r="H11">
        <f>F11+G11</f>
        <v>84093.13</v>
      </c>
      <c r="I11">
        <f>F11*12</f>
        <v>648367.62</v>
      </c>
      <c r="J11">
        <f>Assumptions!$B$33+E11*Assumptions!$B$32</f>
        <v>10200.59</v>
      </c>
      <c r="K11">
        <f>C11*Assumptions!$B$34</f>
        <v>22750</v>
      </c>
      <c r="L11">
        <f>SUMPRODUCT((Assumptions!$E$37:$E$46&lt;=A11)*Assumptions!$B$37:$B$46)/12*(1+Assumptions!$B$47)</f>
        <v>23500</v>
      </c>
      <c r="M11">
        <f>INDEX(Assumptions!$B$50:$D$50,B11)</f>
        <v>4000</v>
      </c>
      <c r="N11">
        <f>INDEX(Assumptions!$B$51:$D$51,B11)</f>
        <v>3000</v>
      </c>
      <c r="O11">
        <f>J11+K11+L11+M11+N11+T11+U11</f>
        <v>80144.44</v>
      </c>
      <c r="P11">
        <f>H11-O11</f>
        <v>3948.7</v>
      </c>
      <c r="Q11">
        <f>Q10+P11</f>
        <v>-177609.37</v>
      </c>
      <c r="R11">
        <f>Q11+Assumptions!$B$53</f>
        <v>-177609.37</v>
      </c>
      <c r="S11">
        <f>SUMPRODUCT(--(Assumptions!$E$37:$E$46&lt;=A11))</f>
        <v>3</v>
      </c>
      <c r="T11">
        <f>C11*(INDEX(Assumptions!$B$22:$D$22,B11)+12*INDEX(Assumptions!$B$21:$D$21,B11))*Assumptions!$B$35</f>
        <v>12693.85</v>
      </c>
      <c r="U11">
        <f>INDEX(Assumptions!$B$52:$D$52,B11)</f>
        <v>4000</v>
      </c>
    </row>
    <row r="12">
      <c r="A12">
        <v>10</v>
      </c>
      <c r="B12">
        <f>INT((A12-1)/12)+1</f>
        <v>1</v>
      </c>
      <c r="C12">
        <f>IF(A12&lt;=Assumptions!$D$28,0,INDEX(Assumptions!$D$25:$D$27,B12))</f>
        <v>6.5</v>
      </c>
      <c r="D12">
        <f>E11*Assumptions!$B$29</f>
        <v>0.65</v>
      </c>
      <c r="E12">
        <f>E11+C12-D12</f>
        <v>49.35</v>
      </c>
      <c r="F12">
        <f>E12*INDEX(Assumptions!$B$21:$D$21,B12)</f>
        <v>61293.18</v>
      </c>
      <c r="G12">
        <f>C12*INDEX(Assumptions!$B$22:$D$22,B12)</f>
        <v>30062.5</v>
      </c>
      <c r="H12">
        <f>F12+G12</f>
        <v>91355.68</v>
      </c>
      <c r="I12">
        <f>F12*12</f>
        <v>735518.1</v>
      </c>
      <c r="J12">
        <f>Assumptions!$B$33+E12*Assumptions!$B$32</f>
        <v>11370.08</v>
      </c>
      <c r="K12">
        <f>C12*Assumptions!$B$34</f>
        <v>22750</v>
      </c>
      <c r="L12">
        <f>SUMPRODUCT((Assumptions!$E$37:$E$46&lt;=A12)*Assumptions!$B$37:$B$46)/12*(1+Assumptions!$B$47)</f>
        <v>43500</v>
      </c>
      <c r="M12">
        <f>INDEX(Assumptions!$B$50:$D$50,B12)</f>
        <v>4000</v>
      </c>
      <c r="N12">
        <f>INDEX(Assumptions!$B$51:$D$51,B12)</f>
        <v>3000</v>
      </c>
      <c r="O12">
        <f>J12+K12+L12+M12+N12+T12+U12</f>
        <v>101313.93</v>
      </c>
      <c r="P12">
        <f>H12-O12</f>
        <v>-9958.25</v>
      </c>
      <c r="Q12">
        <f>Q11+P12</f>
        <v>-187567.62</v>
      </c>
      <c r="R12">
        <f>Q12+Assumptions!$B$53</f>
        <v>-187567.62</v>
      </c>
      <c r="S12">
        <f>SUMPRODUCT(--(Assumptions!$E$37:$E$46&lt;=A12))</f>
        <v>6</v>
      </c>
      <c r="T12">
        <f>C12*(INDEX(Assumptions!$B$22:$D$22,B12)+12*INDEX(Assumptions!$B$21:$D$21,B12))*Assumptions!$B$35</f>
        <v>12693.85</v>
      </c>
      <c r="U12">
        <f>INDEX(Assumptions!$B$52:$D$52,B12)</f>
        <v>4000</v>
      </c>
    </row>
    <row r="13">
      <c r="A13">
        <v>11</v>
      </c>
      <c r="B13">
        <f>INT((A13-1)/12)+1</f>
        <v>1</v>
      </c>
      <c r="C13">
        <f>IF(A13&lt;=Assumptions!$D$28,0,INDEX(Assumptions!$D$25:$D$27,B13))</f>
        <v>6.5</v>
      </c>
      <c r="D13">
        <f>E12*Assumptions!$B$29</f>
        <v>0.74</v>
      </c>
      <c r="E13">
        <f>E12+C13-D13</f>
        <v>55.11</v>
      </c>
      <c r="F13">
        <f>E13*INDEX(Assumptions!$B$21:$D$21,B13)</f>
        <v>68446.78</v>
      </c>
      <c r="G13">
        <f>C13*INDEX(Assumptions!$B$22:$D$22,B13)</f>
        <v>30062.5</v>
      </c>
      <c r="H13">
        <f>F13+G13</f>
        <v>98509.28</v>
      </c>
      <c r="I13">
        <f>F13*12</f>
        <v>821361.33</v>
      </c>
      <c r="J13">
        <f>Assumptions!$B$33+E13*Assumptions!$B$32</f>
        <v>12522.03</v>
      </c>
      <c r="K13">
        <f>C13*Assumptions!$B$34</f>
        <v>22750</v>
      </c>
      <c r="L13">
        <f>SUMPRODUCT((Assumptions!$E$37:$E$46&lt;=A13)*Assumptions!$B$37:$B$46)/12*(1+Assumptions!$B$47)</f>
        <v>43500</v>
      </c>
      <c r="M13">
        <f>INDEX(Assumptions!$B$50:$D$50,B13)</f>
        <v>4000</v>
      </c>
      <c r="N13">
        <f>INDEX(Assumptions!$B$51:$D$51,B13)</f>
        <v>3000</v>
      </c>
      <c r="O13">
        <f>J13+K13+L13+M13+N13+T13+U13</f>
        <v>102465.88</v>
      </c>
      <c r="P13">
        <f>H13-O13</f>
        <v>-3956.6</v>
      </c>
      <c r="Q13">
        <f>Q12+P13</f>
        <v>-191524.21</v>
      </c>
      <c r="R13">
        <f>Q13+Assumptions!$B$53</f>
        <v>-191524.21</v>
      </c>
      <c r="S13">
        <f>SUMPRODUCT(--(Assumptions!$E$37:$E$46&lt;=A13))</f>
        <v>6</v>
      </c>
      <c r="T13">
        <f>C13*(INDEX(Assumptions!$B$22:$D$22,B13)+12*INDEX(Assumptions!$B$21:$D$21,B13))*Assumptions!$B$35</f>
        <v>12693.85</v>
      </c>
      <c r="U13">
        <f>INDEX(Assumptions!$B$52:$D$52,B13)</f>
        <v>4000</v>
      </c>
    </row>
    <row r="14">
      <c r="A14">
        <v>12</v>
      </c>
      <c r="B14">
        <f>INT((A14-1)/12)+1</f>
        <v>1</v>
      </c>
      <c r="C14">
        <f>IF(A14&lt;=Assumptions!$D$28,0,INDEX(Assumptions!$D$25:$D$27,B14))</f>
        <v>6.5</v>
      </c>
      <c r="D14">
        <f>E13*Assumptions!$B$29</f>
        <v>0.83</v>
      </c>
      <c r="E14">
        <f>E13+C14-D14</f>
        <v>60.78</v>
      </c>
      <c r="F14">
        <f>E14*INDEX(Assumptions!$B$21:$D$21,B14)</f>
        <v>75493.08</v>
      </c>
      <c r="G14">
        <f>C14*INDEX(Assumptions!$B$22:$D$22,B14)</f>
        <v>30062.5</v>
      </c>
      <c r="H14">
        <f>F14+G14</f>
        <v>105555.58</v>
      </c>
      <c r="I14">
        <f>F14*12</f>
        <v>905916.91</v>
      </c>
      <c r="J14">
        <f>Assumptions!$B$33+E14*Assumptions!$B$32</f>
        <v>13656.7</v>
      </c>
      <c r="K14">
        <f>C14*Assumptions!$B$34</f>
        <v>22750</v>
      </c>
      <c r="L14">
        <f>SUMPRODUCT((Assumptions!$E$37:$E$46&lt;=A14)*Assumptions!$B$37:$B$46)/12*(1+Assumptions!$B$47)</f>
        <v>43500</v>
      </c>
      <c r="M14">
        <f>INDEX(Assumptions!$B$50:$D$50,B14)</f>
        <v>4000</v>
      </c>
      <c r="N14">
        <f>INDEX(Assumptions!$B$51:$D$51,B14)</f>
        <v>3000</v>
      </c>
      <c r="O14">
        <f>J14+K14+L14+M14+N14+T14+U14</f>
        <v>103600.55</v>
      </c>
      <c r="P14">
        <f>H14-O14</f>
        <v>1955.03</v>
      </c>
      <c r="Q14">
        <f>Q13+P14</f>
        <v>-189569.18</v>
      </c>
      <c r="R14">
        <f>Q14+Assumptions!$B$53</f>
        <v>-189569.18</v>
      </c>
      <c r="S14">
        <f>SUMPRODUCT(--(Assumptions!$E$37:$E$46&lt;=A14))</f>
        <v>6</v>
      </c>
      <c r="T14">
        <f>C14*(INDEX(Assumptions!$B$22:$D$22,B14)+12*INDEX(Assumptions!$B$21:$D$21,B14))*Assumptions!$B$35</f>
        <v>12693.85</v>
      </c>
      <c r="U14">
        <f>INDEX(Assumptions!$B$52:$D$52,B14)</f>
        <v>4000</v>
      </c>
    </row>
    <row r="15">
      <c r="A15">
        <v>13</v>
      </c>
      <c r="B15">
        <f>INT((A15-1)/12)+1</f>
        <v>2</v>
      </c>
      <c r="C15">
        <f>IF(A15&lt;=Assumptions!$D$28,0,INDEX(Assumptions!$D$25:$D$27,B15))</f>
        <v>18.5</v>
      </c>
      <c r="D15">
        <f>E14*Assumptions!$B$29</f>
        <v>0.91</v>
      </c>
      <c r="E15">
        <f>E14+C15-D15</f>
        <v>78.37</v>
      </c>
      <c r="F15">
        <f>E15*INDEX(Assumptions!$B$21:$D$21,B15)</f>
        <v>119125.02</v>
      </c>
      <c r="G15">
        <f>C15*INDEX(Assumptions!$B$22:$D$22,B15)</f>
        <v>77777.08</v>
      </c>
      <c r="H15">
        <f>F15+G15</f>
        <v>196902.1</v>
      </c>
      <c r="I15">
        <f>F15*12</f>
        <v>1429500.23</v>
      </c>
      <c r="J15">
        <f>Assumptions!$B$33+E15*Assumptions!$B$32</f>
        <v>17174.34</v>
      </c>
      <c r="K15">
        <f>C15*Assumptions!$B$34</f>
        <v>64750</v>
      </c>
      <c r="L15">
        <f>SUMPRODUCT((Assumptions!$E$37:$E$46&lt;=A15)*Assumptions!$B$37:$B$46)/12*(1+Assumptions!$B$47)</f>
        <v>43500</v>
      </c>
      <c r="M15">
        <f>INDEX(Assumptions!$B$50:$D$50,B15)</f>
        <v>10000</v>
      </c>
      <c r="N15">
        <f>INDEX(Assumptions!$B$51:$D$51,B15)</f>
        <v>5000</v>
      </c>
      <c r="O15">
        <f>J15+K15+L15+M15+N15+T15+U15</f>
        <v>187946.05</v>
      </c>
      <c r="P15">
        <f>H15-O15</f>
        <v>8956.05</v>
      </c>
      <c r="Q15">
        <f>Q14+P15</f>
        <v>-180613.13</v>
      </c>
      <c r="R15">
        <f>Q15+Assumptions!$B$53</f>
        <v>-180613.13</v>
      </c>
      <c r="S15">
        <f>SUMPRODUCT(--(Assumptions!$E$37:$E$46&lt;=A15))</f>
        <v>6</v>
      </c>
      <c r="T15">
        <f>C15*(INDEX(Assumptions!$B$22:$D$22,B15)+12*INDEX(Assumptions!$B$21:$D$21,B15))*Assumptions!$B$35</f>
        <v>41521.71</v>
      </c>
      <c r="U15">
        <f>INDEX(Assumptions!$B$52:$D$52,B15)</f>
        <v>6000</v>
      </c>
    </row>
    <row r="16">
      <c r="A16">
        <v>14</v>
      </c>
      <c r="B16">
        <f>INT((A16-1)/12)+1</f>
        <v>2</v>
      </c>
      <c r="C16">
        <f>IF(A16&lt;=Assumptions!$D$28,0,INDEX(Assumptions!$D$25:$D$27,B16))</f>
        <v>18.5</v>
      </c>
      <c r="D16">
        <f>E15*Assumptions!$B$29</f>
        <v>1.18</v>
      </c>
      <c r="E16">
        <f>E15+C16-D16</f>
        <v>95.7</v>
      </c>
      <c r="F16">
        <f>E16*INDEX(Assumptions!$B$21:$D$21,B16)</f>
        <v>145458.14</v>
      </c>
      <c r="G16">
        <f>C16*INDEX(Assumptions!$B$22:$D$22,B16)</f>
        <v>77777.08</v>
      </c>
      <c r="H16">
        <f>F16+G16</f>
        <v>223235.23</v>
      </c>
      <c r="I16">
        <f>F16*12</f>
        <v>1745497.72</v>
      </c>
      <c r="J16">
        <f>Assumptions!$B$33+E16*Assumptions!$B$32</f>
        <v>20639.23</v>
      </c>
      <c r="K16">
        <f>C16*Assumptions!$B$34</f>
        <v>64750</v>
      </c>
      <c r="L16">
        <f>SUMPRODUCT((Assumptions!$E$37:$E$46&lt;=A16)*Assumptions!$B$37:$B$46)/12*(1+Assumptions!$B$47)</f>
        <v>43500</v>
      </c>
      <c r="M16">
        <f>INDEX(Assumptions!$B$50:$D$50,B16)</f>
        <v>10000</v>
      </c>
      <c r="N16">
        <f>INDEX(Assumptions!$B$51:$D$51,B16)</f>
        <v>5000</v>
      </c>
      <c r="O16">
        <f>J16+K16+L16+M16+N16+T16+U16</f>
        <v>191410.94</v>
      </c>
      <c r="P16">
        <f>H16-O16</f>
        <v>31824.29</v>
      </c>
      <c r="Q16">
        <f>Q15+P16</f>
        <v>-148788.85</v>
      </c>
      <c r="R16">
        <f>Q16+Assumptions!$B$53</f>
        <v>-148788.85</v>
      </c>
      <c r="S16">
        <f>SUMPRODUCT(--(Assumptions!$E$37:$E$46&lt;=A16))</f>
        <v>6</v>
      </c>
      <c r="T16">
        <f>C16*(INDEX(Assumptions!$B$22:$D$22,B16)+12*INDEX(Assumptions!$B$21:$D$21,B16))*Assumptions!$B$35</f>
        <v>41521.71</v>
      </c>
      <c r="U16">
        <f>INDEX(Assumptions!$B$52:$D$52,B16)</f>
        <v>6000</v>
      </c>
    </row>
    <row r="17">
      <c r="A17">
        <v>15</v>
      </c>
      <c r="B17">
        <f>INT((A17-1)/12)+1</f>
        <v>2</v>
      </c>
      <c r="C17">
        <f>IF(A17&lt;=Assumptions!$D$28,0,INDEX(Assumptions!$D$25:$D$27,B17))</f>
        <v>18.5</v>
      </c>
      <c r="D17">
        <f>E16*Assumptions!$B$29</f>
        <v>1.44</v>
      </c>
      <c r="E17">
        <f>E16+C17-D17</f>
        <v>112.76</v>
      </c>
      <c r="F17">
        <f>E17*INDEX(Assumptions!$B$21:$D$21,B17)</f>
        <v>171396.27</v>
      </c>
      <c r="G17">
        <f>C17*INDEX(Assumptions!$B$22:$D$22,B17)</f>
        <v>77777.08</v>
      </c>
      <c r="H17">
        <f>F17+G17</f>
        <v>249173.35</v>
      </c>
      <c r="I17">
        <f>F17*12</f>
        <v>2056755.26</v>
      </c>
      <c r="J17">
        <f>Assumptions!$B$33+E17*Assumptions!$B$32</f>
        <v>24052.14</v>
      </c>
      <c r="K17">
        <f>C17*Assumptions!$B$34</f>
        <v>64750</v>
      </c>
      <c r="L17">
        <f>SUMPRODUCT((Assumptions!$E$37:$E$46&lt;=A17)*Assumptions!$B$37:$B$46)/12*(1+Assumptions!$B$47)</f>
        <v>43500</v>
      </c>
      <c r="M17">
        <f>INDEX(Assumptions!$B$50:$D$50,B17)</f>
        <v>10000</v>
      </c>
      <c r="N17">
        <f>INDEX(Assumptions!$B$51:$D$51,B17)</f>
        <v>5000</v>
      </c>
      <c r="O17">
        <f>J17+K17+L17+M17+N17+T17+U17</f>
        <v>194823.85</v>
      </c>
      <c r="P17">
        <f>H17-O17</f>
        <v>54349.51</v>
      </c>
      <c r="Q17">
        <f>Q16+P17</f>
        <v>-94439.34</v>
      </c>
      <c r="R17">
        <f>Q17+Assumptions!$B$53</f>
        <v>-94439.34</v>
      </c>
      <c r="S17">
        <f>SUMPRODUCT(--(Assumptions!$E$37:$E$46&lt;=A17))</f>
        <v>6</v>
      </c>
      <c r="T17">
        <f>C17*(INDEX(Assumptions!$B$22:$D$22,B17)+12*INDEX(Assumptions!$B$21:$D$21,B17))*Assumptions!$B$35</f>
        <v>41521.71</v>
      </c>
      <c r="U17">
        <f>INDEX(Assumptions!$B$52:$D$52,B17)</f>
        <v>6000</v>
      </c>
    </row>
    <row r="18">
      <c r="A18">
        <v>16</v>
      </c>
      <c r="B18">
        <f>INT((A18-1)/12)+1</f>
        <v>2</v>
      </c>
      <c r="C18">
        <f>IF(A18&lt;=Assumptions!$D$28,0,INDEX(Assumptions!$D$25:$D$27,B18))</f>
        <v>18.5</v>
      </c>
      <c r="D18">
        <f>E17*Assumptions!$B$29</f>
        <v>1.69</v>
      </c>
      <c r="E18">
        <f>E17+C18-D18</f>
        <v>129.57</v>
      </c>
      <c r="F18">
        <f>E18*INDEX(Assumptions!$B$21:$D$21,B18)</f>
        <v>196945.33</v>
      </c>
      <c r="G18">
        <f>C18*INDEX(Assumptions!$B$22:$D$22,B18)</f>
        <v>77777.08</v>
      </c>
      <c r="H18">
        <f>F18+G18</f>
        <v>274722.41</v>
      </c>
      <c r="I18">
        <f>F18*12</f>
        <v>2363343.93</v>
      </c>
      <c r="J18">
        <f>Assumptions!$B$33+E18*Assumptions!$B$32</f>
        <v>27413.86</v>
      </c>
      <c r="K18">
        <f>C18*Assumptions!$B$34</f>
        <v>64750</v>
      </c>
      <c r="L18">
        <f>SUMPRODUCT((Assumptions!$E$37:$E$46&lt;=A18)*Assumptions!$B$37:$B$46)/12*(1+Assumptions!$B$47)</f>
        <v>43500</v>
      </c>
      <c r="M18">
        <f>INDEX(Assumptions!$B$50:$D$50,B18)</f>
        <v>10000</v>
      </c>
      <c r="N18">
        <f>INDEX(Assumptions!$B$51:$D$51,B18)</f>
        <v>5000</v>
      </c>
      <c r="O18">
        <f>J18+K18+L18+M18+N18+T18+U18</f>
        <v>198185.57</v>
      </c>
      <c r="P18">
        <f>H18-O18</f>
        <v>76536.84</v>
      </c>
      <c r="Q18">
        <f>Q17+P18</f>
        <v>-17902.5</v>
      </c>
      <c r="R18">
        <f>Q18+Assumptions!$B$53</f>
        <v>-17902.5</v>
      </c>
      <c r="S18">
        <f>SUMPRODUCT(--(Assumptions!$E$37:$E$46&lt;=A18))</f>
        <v>6</v>
      </c>
      <c r="T18">
        <f>C18*(INDEX(Assumptions!$B$22:$D$22,B18)+12*INDEX(Assumptions!$B$21:$D$21,B18))*Assumptions!$B$35</f>
        <v>41521.71</v>
      </c>
      <c r="U18">
        <f>INDEX(Assumptions!$B$52:$D$52,B18)</f>
        <v>6000</v>
      </c>
    </row>
    <row r="19">
      <c r="A19">
        <v>17</v>
      </c>
      <c r="B19">
        <f>INT((A19-1)/12)+1</f>
        <v>2</v>
      </c>
      <c r="C19">
        <f>IF(A19&lt;=Assumptions!$D$28,0,INDEX(Assumptions!$D$25:$D$27,B19))</f>
        <v>18.5</v>
      </c>
      <c r="D19">
        <f>E18*Assumptions!$B$29</f>
        <v>1.94</v>
      </c>
      <c r="E19">
        <f>E18+C19-D19</f>
        <v>146.13</v>
      </c>
      <c r="F19">
        <f>E19*INDEX(Assumptions!$B$21:$D$21,B19)</f>
        <v>222111.15</v>
      </c>
      <c r="G19">
        <f>C19*INDEX(Assumptions!$B$22:$D$22,B19)</f>
        <v>77777.08</v>
      </c>
      <c r="H19">
        <f>F19+G19</f>
        <v>299888.23</v>
      </c>
      <c r="I19">
        <f>F19*12</f>
        <v>2665333.77</v>
      </c>
      <c r="J19">
        <f>Assumptions!$B$33+E19*Assumptions!$B$32</f>
        <v>30725.15</v>
      </c>
      <c r="K19">
        <f>C19*Assumptions!$B$34</f>
        <v>64750</v>
      </c>
      <c r="L19">
        <f>SUMPRODUCT((Assumptions!$E$37:$E$46&lt;=A19)*Assumptions!$B$37:$B$46)/12*(1+Assumptions!$B$47)</f>
        <v>43500</v>
      </c>
      <c r="M19">
        <f>INDEX(Assumptions!$B$50:$D$50,B19)</f>
        <v>10000</v>
      </c>
      <c r="N19">
        <f>INDEX(Assumptions!$B$51:$D$51,B19)</f>
        <v>5000</v>
      </c>
      <c r="O19">
        <f>J19+K19+L19+M19+N19+T19+U19</f>
        <v>201496.86</v>
      </c>
      <c r="P19">
        <f>H19-O19</f>
        <v>98391.37</v>
      </c>
      <c r="Q19">
        <f>Q18+P19</f>
        <v>80488.87</v>
      </c>
      <c r="R19">
        <f>Q19+Assumptions!$B$53</f>
        <v>80488.87</v>
      </c>
      <c r="S19">
        <f>SUMPRODUCT(--(Assumptions!$E$37:$E$46&lt;=A19))</f>
        <v>6</v>
      </c>
      <c r="T19">
        <f>C19*(INDEX(Assumptions!$B$22:$D$22,B19)+12*INDEX(Assumptions!$B$21:$D$21,B19))*Assumptions!$B$35</f>
        <v>41521.71</v>
      </c>
      <c r="U19">
        <f>INDEX(Assumptions!$B$52:$D$52,B19)</f>
        <v>6000</v>
      </c>
    </row>
    <row r="20">
      <c r="A20">
        <v>18</v>
      </c>
      <c r="B20">
        <f>INT((A20-1)/12)+1</f>
        <v>2</v>
      </c>
      <c r="C20">
        <f>IF(A20&lt;=Assumptions!$D$28,0,INDEX(Assumptions!$D$25:$D$27,B20))</f>
        <v>18.5</v>
      </c>
      <c r="D20">
        <f>E19*Assumptions!$B$29</f>
        <v>2.19</v>
      </c>
      <c r="E20">
        <f>E19+C20-D20</f>
        <v>162.43</v>
      </c>
      <c r="F20">
        <f>E20*INDEX(Assumptions!$B$21:$D$21,B20)</f>
        <v>246899.48</v>
      </c>
      <c r="G20">
        <f>C20*INDEX(Assumptions!$B$22:$D$22,B20)</f>
        <v>77777.08</v>
      </c>
      <c r="H20">
        <f>F20+G20</f>
        <v>324676.56</v>
      </c>
      <c r="I20">
        <f>F20*12</f>
        <v>2962793.76</v>
      </c>
      <c r="J20">
        <f>Assumptions!$B$33+E20*Assumptions!$B$32</f>
        <v>33986.77</v>
      </c>
      <c r="K20">
        <f>C20*Assumptions!$B$34</f>
        <v>64750</v>
      </c>
      <c r="L20">
        <f>SUMPRODUCT((Assumptions!$E$37:$E$46&lt;=A20)*Assumptions!$B$37:$B$46)/12*(1+Assumptions!$B$47)</f>
        <v>43500</v>
      </c>
      <c r="M20">
        <f>INDEX(Assumptions!$B$50:$D$50,B20)</f>
        <v>10000</v>
      </c>
      <c r="N20">
        <f>INDEX(Assumptions!$B$51:$D$51,B20)</f>
        <v>5000</v>
      </c>
      <c r="O20">
        <f>J20+K20+L20+M20+N20+T20+U20</f>
        <v>204758.48</v>
      </c>
      <c r="P20">
        <f>H20-O20</f>
        <v>119918.08</v>
      </c>
      <c r="Q20">
        <f>Q19+P20</f>
        <v>200406.96</v>
      </c>
      <c r="R20">
        <f>Q20+Assumptions!$B$53</f>
        <v>200406.96</v>
      </c>
      <c r="S20">
        <f>SUMPRODUCT(--(Assumptions!$E$37:$E$46&lt;=A20))</f>
        <v>6</v>
      </c>
      <c r="T20">
        <f>C20*(INDEX(Assumptions!$B$22:$D$22,B20)+12*INDEX(Assumptions!$B$21:$D$21,B20))*Assumptions!$B$35</f>
        <v>41521.71</v>
      </c>
      <c r="U20">
        <f>INDEX(Assumptions!$B$52:$D$52,B20)</f>
        <v>6000</v>
      </c>
    </row>
    <row r="21">
      <c r="A21">
        <v>19</v>
      </c>
      <c r="B21">
        <f>INT((A21-1)/12)+1</f>
        <v>2</v>
      </c>
      <c r="C21">
        <f>IF(A21&lt;=Assumptions!$D$28,0,INDEX(Assumptions!$D$25:$D$27,B21))</f>
        <v>18.5</v>
      </c>
      <c r="D21">
        <f>E20*Assumptions!$B$29</f>
        <v>2.44</v>
      </c>
      <c r="E21">
        <f>E20+C21-D21</f>
        <v>178.5</v>
      </c>
      <c r="F21">
        <f>E21*INDEX(Assumptions!$B$21:$D$21,B21)</f>
        <v>271315.99</v>
      </c>
      <c r="G21">
        <f>C21*INDEX(Assumptions!$B$22:$D$22,B21)</f>
        <v>77777.08</v>
      </c>
      <c r="H21">
        <f>F21+G21</f>
        <v>349093.07</v>
      </c>
      <c r="I21">
        <f>F21*12</f>
        <v>3255791.86</v>
      </c>
      <c r="J21">
        <f>Assumptions!$B$33+E21*Assumptions!$B$32</f>
        <v>37199.47</v>
      </c>
      <c r="K21">
        <f>C21*Assumptions!$B$34</f>
        <v>64750</v>
      </c>
      <c r="L21">
        <f>SUMPRODUCT((Assumptions!$E$37:$E$46&lt;=A21)*Assumptions!$B$37:$B$46)/12*(1+Assumptions!$B$47)</f>
        <v>43500</v>
      </c>
      <c r="M21">
        <f>INDEX(Assumptions!$B$50:$D$50,B21)</f>
        <v>10000</v>
      </c>
      <c r="N21">
        <f>INDEX(Assumptions!$B$51:$D$51,B21)</f>
        <v>5000</v>
      </c>
      <c r="O21">
        <f>J21+K21+L21+M21+N21+T21+U21</f>
        <v>207971.18</v>
      </c>
      <c r="P21">
        <f>H21-O21</f>
        <v>141121.89</v>
      </c>
      <c r="Q21">
        <f>Q20+P21</f>
        <v>341528.85</v>
      </c>
      <c r="R21">
        <f>Q21+Assumptions!$B$53</f>
        <v>341528.85</v>
      </c>
      <c r="S21">
        <f>SUMPRODUCT(--(Assumptions!$E$37:$E$46&lt;=A21))</f>
        <v>6</v>
      </c>
      <c r="T21">
        <f>C21*(INDEX(Assumptions!$B$22:$D$22,B21)+12*INDEX(Assumptions!$B$21:$D$21,B21))*Assumptions!$B$35</f>
        <v>41521.71</v>
      </c>
      <c r="U21">
        <f>INDEX(Assumptions!$B$52:$D$52,B21)</f>
        <v>6000</v>
      </c>
    </row>
    <row r="22">
      <c r="A22">
        <v>20</v>
      </c>
      <c r="B22">
        <f>INT((A22-1)/12)+1</f>
        <v>2</v>
      </c>
      <c r="C22">
        <f>IF(A22&lt;=Assumptions!$D$28,0,INDEX(Assumptions!$D$25:$D$27,B22))</f>
        <v>18.5</v>
      </c>
      <c r="D22">
        <f>E21*Assumptions!$B$29</f>
        <v>2.68</v>
      </c>
      <c r="E22">
        <f>E21+C22-D22</f>
        <v>194.32</v>
      </c>
      <c r="F22">
        <f>E22*INDEX(Assumptions!$B$21:$D$21,B22)</f>
        <v>295366.25</v>
      </c>
      <c r="G22">
        <f>C22*INDEX(Assumptions!$B$22:$D$22,B22)</f>
        <v>77777.08</v>
      </c>
      <c r="H22">
        <f>F22+G22</f>
        <v>373143.33</v>
      </c>
      <c r="I22">
        <f>F22*12</f>
        <v>3544394.98</v>
      </c>
      <c r="J22">
        <f>Assumptions!$B$33+E22*Assumptions!$B$32</f>
        <v>40363.98</v>
      </c>
      <c r="K22">
        <f>C22*Assumptions!$B$34</f>
        <v>64750</v>
      </c>
      <c r="L22">
        <f>SUMPRODUCT((Assumptions!$E$37:$E$46&lt;=A22)*Assumptions!$B$37:$B$46)/12*(1+Assumptions!$B$47)</f>
        <v>43500</v>
      </c>
      <c r="M22">
        <f>INDEX(Assumptions!$B$50:$D$50,B22)</f>
        <v>10000</v>
      </c>
      <c r="N22">
        <f>INDEX(Assumptions!$B$51:$D$51,B22)</f>
        <v>5000</v>
      </c>
      <c r="O22">
        <f>J22+K22+L22+M22+N22+T22+U22</f>
        <v>211135.69</v>
      </c>
      <c r="P22">
        <f>H22-O22</f>
        <v>162007.64</v>
      </c>
      <c r="Q22">
        <f>Q21+P22</f>
        <v>503536.49</v>
      </c>
      <c r="R22">
        <f>Q22+Assumptions!$B$53</f>
        <v>503536.49</v>
      </c>
      <c r="S22">
        <f>SUMPRODUCT(--(Assumptions!$E$37:$E$46&lt;=A22))</f>
        <v>6</v>
      </c>
      <c r="T22">
        <f>C22*(INDEX(Assumptions!$B$22:$D$22,B22)+12*INDEX(Assumptions!$B$21:$D$21,B22))*Assumptions!$B$35</f>
        <v>41521.71</v>
      </c>
      <c r="U22">
        <f>INDEX(Assumptions!$B$52:$D$52,B22)</f>
        <v>6000</v>
      </c>
    </row>
    <row r="23">
      <c r="A23">
        <v>21</v>
      </c>
      <c r="B23">
        <f>INT((A23-1)/12)+1</f>
        <v>2</v>
      </c>
      <c r="C23">
        <f>IF(A23&lt;=Assumptions!$D$28,0,INDEX(Assumptions!$D$25:$D$27,B23))</f>
        <v>18.5</v>
      </c>
      <c r="D23">
        <f>E22*Assumptions!$B$29</f>
        <v>2.91</v>
      </c>
      <c r="E23">
        <f>E22+C23-D23</f>
        <v>209.91</v>
      </c>
      <c r="F23">
        <f>E23*INDEX(Assumptions!$B$21:$D$21,B23)</f>
        <v>319055.75</v>
      </c>
      <c r="G23">
        <f>C23*INDEX(Assumptions!$B$22:$D$22,B23)</f>
        <v>77777.08</v>
      </c>
      <c r="H23">
        <f>F23+G23</f>
        <v>396832.84</v>
      </c>
      <c r="I23">
        <f>F23*12</f>
        <v>3828669.05</v>
      </c>
      <c r="J23">
        <f>Assumptions!$B$33+E23*Assumptions!$B$32</f>
        <v>43481.02</v>
      </c>
      <c r="K23">
        <f>C23*Assumptions!$B$34</f>
        <v>64750</v>
      </c>
      <c r="L23">
        <f>SUMPRODUCT((Assumptions!$E$37:$E$46&lt;=A23)*Assumptions!$B$37:$B$46)/12*(1+Assumptions!$B$47)</f>
        <v>43500</v>
      </c>
      <c r="M23">
        <f>INDEX(Assumptions!$B$50:$D$50,B23)</f>
        <v>10000</v>
      </c>
      <c r="N23">
        <f>INDEX(Assumptions!$B$51:$D$51,B23)</f>
        <v>5000</v>
      </c>
      <c r="O23">
        <f>J23+K23+L23+M23+N23+T23+U23</f>
        <v>214252.73</v>
      </c>
      <c r="P23">
        <f>H23-O23</f>
        <v>182580.11</v>
      </c>
      <c r="Q23">
        <f>Q22+P23</f>
        <v>686116.6</v>
      </c>
      <c r="R23">
        <f>Q23+Assumptions!$B$53</f>
        <v>686116.6</v>
      </c>
      <c r="S23">
        <f>SUMPRODUCT(--(Assumptions!$E$37:$E$46&lt;=A23))</f>
        <v>6</v>
      </c>
      <c r="T23">
        <f>C23*(INDEX(Assumptions!$B$22:$D$22,B23)+12*INDEX(Assumptions!$B$21:$D$21,B23))*Assumptions!$B$35</f>
        <v>41521.71</v>
      </c>
      <c r="U23">
        <f>INDEX(Assumptions!$B$52:$D$52,B23)</f>
        <v>6000</v>
      </c>
    </row>
    <row r="24">
      <c r="A24">
        <v>22</v>
      </c>
      <c r="B24">
        <f>INT((A24-1)/12)+1</f>
        <v>2</v>
      </c>
      <c r="C24">
        <f>IF(A24&lt;=Assumptions!$D$28,0,INDEX(Assumptions!$D$25:$D$27,B24))</f>
        <v>18.5</v>
      </c>
      <c r="D24">
        <f>E23*Assumptions!$B$29</f>
        <v>3.15</v>
      </c>
      <c r="E24">
        <f>E23+C24-D24</f>
        <v>225.26</v>
      </c>
      <c r="F24">
        <f>E24*INDEX(Assumptions!$B$21:$D$21,B24)</f>
        <v>342389.92</v>
      </c>
      <c r="G24">
        <f>C24*INDEX(Assumptions!$B$22:$D$22,B24)</f>
        <v>77777.08</v>
      </c>
      <c r="H24">
        <f>F24+G24</f>
        <v>420167</v>
      </c>
      <c r="I24">
        <f>F24*12</f>
        <v>4108679.02</v>
      </c>
      <c r="J24">
        <f>Assumptions!$B$33+E24*Assumptions!$B$32</f>
        <v>46551.31</v>
      </c>
      <c r="K24">
        <f>C24*Assumptions!$B$34</f>
        <v>64750</v>
      </c>
      <c r="L24">
        <f>SUMPRODUCT((Assumptions!$E$37:$E$46&lt;=A24)*Assumptions!$B$37:$B$46)/12*(1+Assumptions!$B$47)</f>
        <v>67500</v>
      </c>
      <c r="M24">
        <f>INDEX(Assumptions!$B$50:$D$50,B24)</f>
        <v>10000</v>
      </c>
      <c r="N24">
        <f>INDEX(Assumptions!$B$51:$D$51,B24)</f>
        <v>5000</v>
      </c>
      <c r="O24">
        <f>J24+K24+L24+M24+N24+T24+U24</f>
        <v>241323.01</v>
      </c>
      <c r="P24">
        <f>H24-O24</f>
        <v>178843.99</v>
      </c>
      <c r="Q24">
        <f>Q23+P24</f>
        <v>864960.59</v>
      </c>
      <c r="R24">
        <f>Q24+Assumptions!$B$53</f>
        <v>864960.59</v>
      </c>
      <c r="S24">
        <f>SUMPRODUCT(--(Assumptions!$E$37:$E$46&lt;=A24))</f>
        <v>10</v>
      </c>
      <c r="T24">
        <f>C24*(INDEX(Assumptions!$B$22:$D$22,B24)+12*INDEX(Assumptions!$B$21:$D$21,B24))*Assumptions!$B$35</f>
        <v>41521.71</v>
      </c>
      <c r="U24">
        <f>INDEX(Assumptions!$B$52:$D$52,B24)</f>
        <v>6000</v>
      </c>
    </row>
    <row r="25">
      <c r="A25">
        <v>23</v>
      </c>
      <c r="B25">
        <f>INT((A25-1)/12)+1</f>
        <v>2</v>
      </c>
      <c r="C25">
        <f>IF(A25&lt;=Assumptions!$D$28,0,INDEX(Assumptions!$D$25:$D$27,B25))</f>
        <v>18.5</v>
      </c>
      <c r="D25">
        <f>E24*Assumptions!$B$29</f>
        <v>3.38</v>
      </c>
      <c r="E25">
        <f>E24+C25-D25</f>
        <v>240.38</v>
      </c>
      <c r="F25">
        <f>E25*INDEX(Assumptions!$B$21:$D$21,B25)</f>
        <v>365374.07</v>
      </c>
      <c r="G25">
        <f>C25*INDEX(Assumptions!$B$22:$D$22,B25)</f>
        <v>77777.08</v>
      </c>
      <c r="H25">
        <f>F25+G25</f>
        <v>443151.15</v>
      </c>
      <c r="I25">
        <f>F25*12</f>
        <v>4384488.83</v>
      </c>
      <c r="J25">
        <f>Assumptions!$B$33+E25*Assumptions!$B$32</f>
        <v>49575.54</v>
      </c>
      <c r="K25">
        <f>C25*Assumptions!$B$34</f>
        <v>64750</v>
      </c>
      <c r="L25">
        <f>SUMPRODUCT((Assumptions!$E$37:$E$46&lt;=A25)*Assumptions!$B$37:$B$46)/12*(1+Assumptions!$B$47)</f>
        <v>67500</v>
      </c>
      <c r="M25">
        <f>INDEX(Assumptions!$B$50:$D$50,B25)</f>
        <v>10000</v>
      </c>
      <c r="N25">
        <f>INDEX(Assumptions!$B$51:$D$51,B25)</f>
        <v>5000</v>
      </c>
      <c r="O25">
        <f>J25+K25+L25+M25+N25+T25+U25</f>
        <v>244347.24</v>
      </c>
      <c r="P25">
        <f>H25-O25</f>
        <v>198803.91</v>
      </c>
      <c r="Q25">
        <f>Q24+P25</f>
        <v>1063764.5</v>
      </c>
      <c r="R25">
        <f>Q25+Assumptions!$B$53</f>
        <v>1063764.5</v>
      </c>
      <c r="S25">
        <f>SUMPRODUCT(--(Assumptions!$E$37:$E$46&lt;=A25))</f>
        <v>10</v>
      </c>
      <c r="T25">
        <f>C25*(INDEX(Assumptions!$B$22:$D$22,B25)+12*INDEX(Assumptions!$B$21:$D$21,B25))*Assumptions!$B$35</f>
        <v>41521.71</v>
      </c>
      <c r="U25">
        <f>INDEX(Assumptions!$B$52:$D$52,B25)</f>
        <v>6000</v>
      </c>
    </row>
    <row r="26">
      <c r="A26">
        <v>24</v>
      </c>
      <c r="B26">
        <f>INT((A26-1)/12)+1</f>
        <v>2</v>
      </c>
      <c r="C26">
        <f>IF(A26&lt;=Assumptions!$D$28,0,INDEX(Assumptions!$D$25:$D$27,B26))</f>
        <v>18.5</v>
      </c>
      <c r="D26">
        <f>E25*Assumptions!$B$29</f>
        <v>3.61</v>
      </c>
      <c r="E26">
        <f>E25+C26-D26</f>
        <v>255.27</v>
      </c>
      <c r="F26">
        <f>E26*INDEX(Assumptions!$B$21:$D$21,B26)</f>
        <v>388013.46</v>
      </c>
      <c r="G26">
        <f>C26*INDEX(Assumptions!$B$22:$D$22,B26)</f>
        <v>77777.08</v>
      </c>
      <c r="H26">
        <f>F26+G26</f>
        <v>465790.54</v>
      </c>
      <c r="I26">
        <f>F26*12</f>
        <v>4656161.5</v>
      </c>
      <c r="J26">
        <f>Assumptions!$B$33+E26*Assumptions!$B$32</f>
        <v>52554.4</v>
      </c>
      <c r="K26">
        <f>C26*Assumptions!$B$34</f>
        <v>64750</v>
      </c>
      <c r="L26">
        <f>SUMPRODUCT((Assumptions!$E$37:$E$46&lt;=A26)*Assumptions!$B$37:$B$46)/12*(1+Assumptions!$B$47)</f>
        <v>67500</v>
      </c>
      <c r="M26">
        <f>INDEX(Assumptions!$B$50:$D$50,B26)</f>
        <v>10000</v>
      </c>
      <c r="N26">
        <f>INDEX(Assumptions!$B$51:$D$51,B26)</f>
        <v>5000</v>
      </c>
      <c r="O26">
        <f>J26+K26+L26+M26+N26+T26+U26</f>
        <v>247326.11</v>
      </c>
      <c r="P26">
        <f>H26-O26</f>
        <v>218464.43</v>
      </c>
      <c r="Q26">
        <f>Q25+P26</f>
        <v>1282228.93</v>
      </c>
      <c r="R26">
        <f>Q26+Assumptions!$B$53</f>
        <v>1282228.93</v>
      </c>
      <c r="S26">
        <f>SUMPRODUCT(--(Assumptions!$E$37:$E$46&lt;=A26))</f>
        <v>10</v>
      </c>
      <c r="T26">
        <f>C26*(INDEX(Assumptions!$B$22:$D$22,B26)+12*INDEX(Assumptions!$B$21:$D$21,B26))*Assumptions!$B$35</f>
        <v>41521.71</v>
      </c>
      <c r="U26">
        <f>INDEX(Assumptions!$B$52:$D$52,B26)</f>
        <v>6000</v>
      </c>
    </row>
    <row r="27">
      <c r="A27">
        <v>25</v>
      </c>
      <c r="B27">
        <f>INT((A27-1)/12)+1</f>
        <v>3</v>
      </c>
      <c r="C27">
        <f>IF(A27&lt;=Assumptions!$D$28,0,INDEX(Assumptions!$D$25:$D$27,B27))</f>
        <v>42</v>
      </c>
      <c r="D27">
        <f>E26*Assumptions!$B$29</f>
        <v>3.83</v>
      </c>
      <c r="E27">
        <f>E26+C27-D27</f>
        <v>293.44</v>
      </c>
      <c r="F27">
        <f>E27*INDEX(Assumptions!$B$21:$D$21,B27)</f>
        <v>464153.36</v>
      </c>
      <c r="G27">
        <f>C27*INDEX(Assumptions!$B$22:$D$22,B27)</f>
        <v>171675</v>
      </c>
      <c r="H27">
        <f>F27+G27</f>
        <v>635828.36</v>
      </c>
      <c r="I27">
        <f>F27*12</f>
        <v>5569840.29</v>
      </c>
      <c r="J27">
        <f>Assumptions!$B$33+E27*Assumptions!$B$32</f>
        <v>60188.59</v>
      </c>
      <c r="K27">
        <f>C27*Assumptions!$B$34</f>
        <v>147000</v>
      </c>
      <c r="L27">
        <f>SUMPRODUCT((Assumptions!$E$37:$E$46&lt;=A27)*Assumptions!$B$37:$B$46)/12*(1+Assumptions!$B$47)</f>
        <v>67500</v>
      </c>
      <c r="M27">
        <f>INDEX(Assumptions!$B$50:$D$50,B27)</f>
        <v>20000</v>
      </c>
      <c r="N27">
        <f>INDEX(Assumptions!$B$51:$D$51,B27)</f>
        <v>8000</v>
      </c>
      <c r="O27">
        <f>J27+K27+L27+M27+N27+T27+U27</f>
        <v>407576.29</v>
      </c>
      <c r="P27">
        <f>H27-O27</f>
        <v>228252.07</v>
      </c>
      <c r="Q27">
        <f>Q26+P27</f>
        <v>1510481</v>
      </c>
      <c r="R27">
        <f>Q27+Assumptions!$B$53</f>
        <v>1510481</v>
      </c>
      <c r="S27">
        <f>SUMPRODUCT(--(Assumptions!$E$37:$E$46&lt;=A27))</f>
        <v>10</v>
      </c>
      <c r="T27">
        <f>C27*(INDEX(Assumptions!$B$22:$D$22,B27)+12*INDEX(Assumptions!$B$21:$D$21,B27))*Assumptions!$B$35</f>
        <v>96887.7</v>
      </c>
      <c r="U27">
        <f>INDEX(Assumptions!$B$52:$D$52,B27)</f>
        <v>8000</v>
      </c>
    </row>
    <row r="28">
      <c r="A28">
        <v>26</v>
      </c>
      <c r="B28">
        <f>INT((A28-1)/12)+1</f>
        <v>3</v>
      </c>
      <c r="C28">
        <f>IF(A28&lt;=Assumptions!$D$28,0,INDEX(Assumptions!$D$25:$D$27,B28))</f>
        <v>42</v>
      </c>
      <c r="D28">
        <f>E27*Assumptions!$B$29</f>
        <v>4.4</v>
      </c>
      <c r="E28">
        <f>E27+C28-D28</f>
        <v>331.04</v>
      </c>
      <c r="F28">
        <f>E28*INDEX(Assumptions!$B$21:$D$21,B28)</f>
        <v>523624.56</v>
      </c>
      <c r="G28">
        <f>C28*INDEX(Assumptions!$B$22:$D$22,B28)</f>
        <v>171675</v>
      </c>
      <c r="H28">
        <f>F28+G28</f>
        <v>695299.56</v>
      </c>
      <c r="I28">
        <f>F28*12</f>
        <v>6283494.69</v>
      </c>
      <c r="J28">
        <f>Assumptions!$B$33+E28*Assumptions!$B$32</f>
        <v>67708.26</v>
      </c>
      <c r="K28">
        <f>C28*Assumptions!$B$34</f>
        <v>147000</v>
      </c>
      <c r="L28">
        <f>SUMPRODUCT((Assumptions!$E$37:$E$46&lt;=A28)*Assumptions!$B$37:$B$46)/12*(1+Assumptions!$B$47)</f>
        <v>67500</v>
      </c>
      <c r="M28">
        <f>INDEX(Assumptions!$B$50:$D$50,B28)</f>
        <v>20000</v>
      </c>
      <c r="N28">
        <f>INDEX(Assumptions!$B$51:$D$51,B28)</f>
        <v>8000</v>
      </c>
      <c r="O28">
        <f>J28+K28+L28+M28+N28+T28+U28</f>
        <v>415095.96</v>
      </c>
      <c r="P28">
        <f>H28-O28</f>
        <v>280203.6</v>
      </c>
      <c r="Q28">
        <f>Q27+P28</f>
        <v>1790684.6</v>
      </c>
      <c r="R28">
        <f>Q28+Assumptions!$B$53</f>
        <v>1790684.6</v>
      </c>
      <c r="S28">
        <f>SUMPRODUCT(--(Assumptions!$E$37:$E$46&lt;=A28))</f>
        <v>10</v>
      </c>
      <c r="T28">
        <f>C28*(INDEX(Assumptions!$B$22:$D$22,B28)+12*INDEX(Assumptions!$B$21:$D$21,B28))*Assumptions!$B$35</f>
        <v>96887.7</v>
      </c>
      <c r="U28">
        <f>INDEX(Assumptions!$B$52:$D$52,B28)</f>
        <v>8000</v>
      </c>
    </row>
    <row r="29">
      <c r="A29">
        <v>27</v>
      </c>
      <c r="B29">
        <f>INT((A29-1)/12)+1</f>
        <v>3</v>
      </c>
      <c r="C29">
        <f>IF(A29&lt;=Assumptions!$D$28,0,INDEX(Assumptions!$D$25:$D$27,B29))</f>
        <v>42</v>
      </c>
      <c r="D29">
        <f>E28*Assumptions!$B$29</f>
        <v>4.97</v>
      </c>
      <c r="E29">
        <f>E28+C29-D29</f>
        <v>368.08</v>
      </c>
      <c r="F29">
        <f>E29*INDEX(Assumptions!$B$21:$D$21,B29)</f>
        <v>582203.69</v>
      </c>
      <c r="G29">
        <f>C29*INDEX(Assumptions!$B$22:$D$22,B29)</f>
        <v>171675</v>
      </c>
      <c r="H29">
        <f>F29+G29</f>
        <v>753878.69</v>
      </c>
      <c r="I29">
        <f>F29*12</f>
        <v>6986444.27</v>
      </c>
      <c r="J29">
        <f>Assumptions!$B$33+E29*Assumptions!$B$32</f>
        <v>75115.13</v>
      </c>
      <c r="K29">
        <f>C29*Assumptions!$B$34</f>
        <v>147000</v>
      </c>
      <c r="L29">
        <f>SUMPRODUCT((Assumptions!$E$37:$E$46&lt;=A29)*Assumptions!$B$37:$B$46)/12*(1+Assumptions!$B$47)</f>
        <v>67500</v>
      </c>
      <c r="M29">
        <f>INDEX(Assumptions!$B$50:$D$50,B29)</f>
        <v>20000</v>
      </c>
      <c r="N29">
        <f>INDEX(Assumptions!$B$51:$D$51,B29)</f>
        <v>8000</v>
      </c>
      <c r="O29">
        <f>J29+K29+L29+M29+N29+T29+U29</f>
        <v>422502.83</v>
      </c>
      <c r="P29">
        <f>H29-O29</f>
        <v>331375.86</v>
      </c>
      <c r="Q29">
        <f>Q28+P29</f>
        <v>2122060.45</v>
      </c>
      <c r="R29">
        <f>Q29+Assumptions!$B$53</f>
        <v>2122060.45</v>
      </c>
      <c r="S29">
        <f>SUMPRODUCT(--(Assumptions!$E$37:$E$46&lt;=A29))</f>
        <v>10</v>
      </c>
      <c r="T29">
        <f>C29*(INDEX(Assumptions!$B$22:$D$22,B29)+12*INDEX(Assumptions!$B$21:$D$21,B29))*Assumptions!$B$35</f>
        <v>96887.7</v>
      </c>
      <c r="U29">
        <f>INDEX(Assumptions!$B$52:$D$52,B29)</f>
        <v>8000</v>
      </c>
    </row>
    <row r="30">
      <c r="A30">
        <v>28</v>
      </c>
      <c r="B30">
        <f>INT((A30-1)/12)+1</f>
        <v>3</v>
      </c>
      <c r="C30">
        <f>IF(A30&lt;=Assumptions!$D$28,0,INDEX(Assumptions!$D$25:$D$27,B30))</f>
        <v>42</v>
      </c>
      <c r="D30">
        <f>E29*Assumptions!$B$29</f>
        <v>5.52</v>
      </c>
      <c r="E30">
        <f>E29+C30-D30</f>
        <v>404.55</v>
      </c>
      <c r="F30">
        <f>E30*INDEX(Assumptions!$B$21:$D$21,B30)</f>
        <v>639904.13</v>
      </c>
      <c r="G30">
        <f>C30*INDEX(Assumptions!$B$22:$D$22,B30)</f>
        <v>171675</v>
      </c>
      <c r="H30">
        <f>F30+G30</f>
        <v>811579.13</v>
      </c>
      <c r="I30">
        <f>F30*12</f>
        <v>7678849.6</v>
      </c>
      <c r="J30">
        <f>Assumptions!$B$33+E30*Assumptions!$B$32</f>
        <v>82410.91</v>
      </c>
      <c r="K30">
        <f>C30*Assumptions!$B$34</f>
        <v>147000</v>
      </c>
      <c r="L30">
        <f>SUMPRODUCT((Assumptions!$E$37:$E$46&lt;=A30)*Assumptions!$B$37:$B$46)/12*(1+Assumptions!$B$47)</f>
        <v>67500</v>
      </c>
      <c r="M30">
        <f>INDEX(Assumptions!$B$50:$D$50,B30)</f>
        <v>20000</v>
      </c>
      <c r="N30">
        <f>INDEX(Assumptions!$B$51:$D$51,B30)</f>
        <v>8000</v>
      </c>
      <c r="O30">
        <f>J30+K30+L30+M30+N30+T30+U30</f>
        <v>429798.61</v>
      </c>
      <c r="P30">
        <f>H30-O30</f>
        <v>381780.53</v>
      </c>
      <c r="Q30">
        <f>Q29+P30</f>
        <v>2503840.98</v>
      </c>
      <c r="R30">
        <f>Q30+Assumptions!$B$53</f>
        <v>2503840.98</v>
      </c>
      <c r="S30">
        <f>SUMPRODUCT(--(Assumptions!$E$37:$E$46&lt;=A30))</f>
        <v>10</v>
      </c>
      <c r="T30">
        <f>C30*(INDEX(Assumptions!$B$22:$D$22,B30)+12*INDEX(Assumptions!$B$21:$D$21,B30))*Assumptions!$B$35</f>
        <v>96887.7</v>
      </c>
      <c r="U30">
        <f>INDEX(Assumptions!$B$52:$D$52,B30)</f>
        <v>8000</v>
      </c>
    </row>
    <row r="31">
      <c r="A31">
        <v>29</v>
      </c>
      <c r="B31">
        <f>INT((A31-1)/12)+1</f>
        <v>3</v>
      </c>
      <c r="C31">
        <f>IF(A31&lt;=Assumptions!$D$28,0,INDEX(Assumptions!$D$25:$D$27,B31))</f>
        <v>42</v>
      </c>
      <c r="D31">
        <f>E30*Assumptions!$B$29</f>
        <v>6.07</v>
      </c>
      <c r="E31">
        <f>E30+C31-D31</f>
        <v>440.49</v>
      </c>
      <c r="F31">
        <f>E31*INDEX(Assumptions!$B$21:$D$21,B31)</f>
        <v>696739.07</v>
      </c>
      <c r="G31">
        <f>C31*INDEX(Assumptions!$B$22:$D$22,B31)</f>
        <v>171675</v>
      </c>
      <c r="H31">
        <f>F31+G31</f>
        <v>868414.07</v>
      </c>
      <c r="I31">
        <f>F31*12</f>
        <v>8360868.86</v>
      </c>
      <c r="J31">
        <f>Assumptions!$B$33+E31*Assumptions!$B$32</f>
        <v>89597.24</v>
      </c>
      <c r="K31">
        <f>C31*Assumptions!$B$34</f>
        <v>147000</v>
      </c>
      <c r="L31">
        <f>SUMPRODUCT((Assumptions!$E$37:$E$46&lt;=A31)*Assumptions!$B$37:$B$46)/12*(1+Assumptions!$B$47)</f>
        <v>67500</v>
      </c>
      <c r="M31">
        <f>INDEX(Assumptions!$B$50:$D$50,B31)</f>
        <v>20000</v>
      </c>
      <c r="N31">
        <f>INDEX(Assumptions!$B$51:$D$51,B31)</f>
        <v>8000</v>
      </c>
      <c r="O31">
        <f>J31+K31+L31+M31+N31+T31+U31</f>
        <v>436984.94</v>
      </c>
      <c r="P31">
        <f>H31-O31</f>
        <v>431429.13</v>
      </c>
      <c r="Q31">
        <f>Q30+P31</f>
        <v>2935270.11</v>
      </c>
      <c r="R31">
        <f>Q31+Assumptions!$B$53</f>
        <v>2935270.11</v>
      </c>
      <c r="S31">
        <f>SUMPRODUCT(--(Assumptions!$E$37:$E$46&lt;=A31))</f>
        <v>10</v>
      </c>
      <c r="T31">
        <f>C31*(INDEX(Assumptions!$B$22:$D$22,B31)+12*INDEX(Assumptions!$B$21:$D$21,B31))*Assumptions!$B$35</f>
        <v>96887.7</v>
      </c>
      <c r="U31">
        <f>INDEX(Assumptions!$B$52:$D$52,B31)</f>
        <v>8000</v>
      </c>
    </row>
    <row r="32">
      <c r="A32">
        <v>30</v>
      </c>
      <c r="B32">
        <f>INT((A32-1)/12)+1</f>
        <v>3</v>
      </c>
      <c r="C32">
        <f>IF(A32&lt;=Assumptions!$D$28,0,INDEX(Assumptions!$D$25:$D$27,B32))</f>
        <v>42</v>
      </c>
      <c r="D32">
        <f>E31*Assumptions!$B$29</f>
        <v>6.61</v>
      </c>
      <c r="E32">
        <f>E31+C32-D32</f>
        <v>475.88</v>
      </c>
      <c r="F32">
        <f>E32*INDEX(Assumptions!$B$21:$D$21,B32)</f>
        <v>752721.49</v>
      </c>
      <c r="G32">
        <f>C32*INDEX(Assumptions!$B$22:$D$22,B32)</f>
        <v>171675</v>
      </c>
      <c r="H32">
        <f>F32+G32</f>
        <v>924396.49</v>
      </c>
      <c r="I32">
        <f>F32*12</f>
        <v>9032657.82</v>
      </c>
      <c r="J32">
        <f>Assumptions!$B$33+E32*Assumptions!$B$32</f>
        <v>96675.78</v>
      </c>
      <c r="K32">
        <f>C32*Assumptions!$B$34</f>
        <v>147000</v>
      </c>
      <c r="L32">
        <f>SUMPRODUCT((Assumptions!$E$37:$E$46&lt;=A32)*Assumptions!$B$37:$B$46)/12*(1+Assumptions!$B$47)</f>
        <v>67500</v>
      </c>
      <c r="M32">
        <f>INDEX(Assumptions!$B$50:$D$50,B32)</f>
        <v>20000</v>
      </c>
      <c r="N32">
        <f>INDEX(Assumptions!$B$51:$D$51,B32)</f>
        <v>8000</v>
      </c>
      <c r="O32">
        <f>J32+K32+L32+M32+N32+T32+U32</f>
        <v>444063.48</v>
      </c>
      <c r="P32">
        <f>H32-O32</f>
        <v>480333</v>
      </c>
      <c r="Q32">
        <f>Q31+P32</f>
        <v>3415603.11</v>
      </c>
      <c r="R32">
        <f>Q32+Assumptions!$B$53</f>
        <v>3415603.11</v>
      </c>
      <c r="S32">
        <f>SUMPRODUCT(--(Assumptions!$E$37:$E$46&lt;=A32))</f>
        <v>10</v>
      </c>
      <c r="T32">
        <f>C32*(INDEX(Assumptions!$B$22:$D$22,B32)+12*INDEX(Assumptions!$B$21:$D$21,B32))*Assumptions!$B$35</f>
        <v>96887.7</v>
      </c>
      <c r="U32">
        <f>INDEX(Assumptions!$B$52:$D$52,B32)</f>
        <v>8000</v>
      </c>
    </row>
    <row r="33">
      <c r="A33">
        <v>31</v>
      </c>
      <c r="B33">
        <f>INT((A33-1)/12)+1</f>
        <v>3</v>
      </c>
      <c r="C33">
        <f>IF(A33&lt;=Assumptions!$D$28,0,INDEX(Assumptions!$D$25:$D$27,B33))</f>
        <v>42</v>
      </c>
      <c r="D33">
        <f>E32*Assumptions!$B$29</f>
        <v>7.14</v>
      </c>
      <c r="E33">
        <f>E32+C33-D33</f>
        <v>510.74</v>
      </c>
      <c r="F33">
        <f>E33*INDEX(Assumptions!$B$21:$D$21,B33)</f>
        <v>807864.16</v>
      </c>
      <c r="G33">
        <f>C33*INDEX(Assumptions!$B$22:$D$22,B33)</f>
        <v>171675</v>
      </c>
      <c r="H33">
        <f>F33+G33</f>
        <v>979539.16</v>
      </c>
      <c r="I33">
        <f>F33*12</f>
        <v>9694369.96</v>
      </c>
      <c r="J33">
        <f>Assumptions!$B$33+E33*Assumptions!$B$32</f>
        <v>103648.15</v>
      </c>
      <c r="K33">
        <f>C33*Assumptions!$B$34</f>
        <v>147000</v>
      </c>
      <c r="L33">
        <f>SUMPRODUCT((Assumptions!$E$37:$E$46&lt;=A33)*Assumptions!$B$37:$B$46)/12*(1+Assumptions!$B$47)</f>
        <v>67500</v>
      </c>
      <c r="M33">
        <f>INDEX(Assumptions!$B$50:$D$50,B33)</f>
        <v>20000</v>
      </c>
      <c r="N33">
        <f>INDEX(Assumptions!$B$51:$D$51,B33)</f>
        <v>8000</v>
      </c>
      <c r="O33">
        <f>J33+K33+L33+M33+N33+T33+U33</f>
        <v>451035.85</v>
      </c>
      <c r="P33">
        <f>H33-O33</f>
        <v>528503.32</v>
      </c>
      <c r="Q33">
        <f>Q32+P33</f>
        <v>3944106.42</v>
      </c>
      <c r="R33">
        <f>Q33+Assumptions!$B$53</f>
        <v>3944106.42</v>
      </c>
      <c r="S33">
        <f>SUMPRODUCT(--(Assumptions!$E$37:$E$46&lt;=A33))</f>
        <v>10</v>
      </c>
      <c r="T33">
        <f>C33*(INDEX(Assumptions!$B$22:$D$22,B33)+12*INDEX(Assumptions!$B$21:$D$21,B33))*Assumptions!$B$35</f>
        <v>96887.7</v>
      </c>
      <c r="U33">
        <f>INDEX(Assumptions!$B$52:$D$52,B33)</f>
        <v>8000</v>
      </c>
    </row>
    <row r="34">
      <c r="A34">
        <v>32</v>
      </c>
      <c r="B34">
        <f>INT((A34-1)/12)+1</f>
        <v>3</v>
      </c>
      <c r="C34">
        <f>IF(A34&lt;=Assumptions!$D$28,0,INDEX(Assumptions!$D$25:$D$27,B34))</f>
        <v>42</v>
      </c>
      <c r="D34">
        <f>E33*Assumptions!$B$29</f>
        <v>7.66</v>
      </c>
      <c r="E34">
        <f>E33+C34-D34</f>
        <v>545.08</v>
      </c>
      <c r="F34">
        <f>E34*INDEX(Assumptions!$B$21:$D$21,B34)</f>
        <v>862179.7</v>
      </c>
      <c r="G34">
        <f>C34*INDEX(Assumptions!$B$22:$D$22,B34)</f>
        <v>171675</v>
      </c>
      <c r="H34">
        <f>F34+G34</f>
        <v>1033854.7</v>
      </c>
      <c r="I34">
        <f>F34*12</f>
        <v>10346156.41</v>
      </c>
      <c r="J34">
        <f>Assumptions!$B$33+E34*Assumptions!$B$32</f>
        <v>110515.93</v>
      </c>
      <c r="K34">
        <f>C34*Assumptions!$B$34</f>
        <v>147000</v>
      </c>
      <c r="L34">
        <f>SUMPRODUCT((Assumptions!$E$37:$E$46&lt;=A34)*Assumptions!$B$37:$B$46)/12*(1+Assumptions!$B$47)</f>
        <v>67500</v>
      </c>
      <c r="M34">
        <f>INDEX(Assumptions!$B$50:$D$50,B34)</f>
        <v>20000</v>
      </c>
      <c r="N34">
        <f>INDEX(Assumptions!$B$51:$D$51,B34)</f>
        <v>8000</v>
      </c>
      <c r="O34">
        <f>J34+K34+L34+M34+N34+T34+U34</f>
        <v>457903.63</v>
      </c>
      <c r="P34">
        <f>H34-O34</f>
        <v>575951.08</v>
      </c>
      <c r="Q34">
        <f>Q33+P34</f>
        <v>4520057.5</v>
      </c>
      <c r="R34">
        <f>Q34+Assumptions!$B$53</f>
        <v>4520057.5</v>
      </c>
      <c r="S34">
        <f>SUMPRODUCT(--(Assumptions!$E$37:$E$46&lt;=A34))</f>
        <v>10</v>
      </c>
      <c r="T34">
        <f>C34*(INDEX(Assumptions!$B$22:$D$22,B34)+12*INDEX(Assumptions!$B$21:$D$21,B34))*Assumptions!$B$35</f>
        <v>96887.7</v>
      </c>
      <c r="U34">
        <f>INDEX(Assumptions!$B$52:$D$52,B34)</f>
        <v>8000</v>
      </c>
    </row>
    <row r="35">
      <c r="A35">
        <v>33</v>
      </c>
      <c r="B35">
        <f>INT((A35-1)/12)+1</f>
        <v>3</v>
      </c>
      <c r="C35">
        <f>IF(A35&lt;=Assumptions!$D$28,0,INDEX(Assumptions!$D$25:$D$27,B35))</f>
        <v>42</v>
      </c>
      <c r="D35">
        <f>E34*Assumptions!$B$29</f>
        <v>8.18</v>
      </c>
      <c r="E35">
        <f>E34+C35-D35</f>
        <v>578.9</v>
      </c>
      <c r="F35">
        <f>E35*INDEX(Assumptions!$B$21:$D$21,B35)</f>
        <v>915680.51</v>
      </c>
      <c r="G35">
        <f>C35*INDEX(Assumptions!$B$22:$D$22,B35)</f>
        <v>171675</v>
      </c>
      <c r="H35">
        <f>F35+G35</f>
        <v>1087355.51</v>
      </c>
      <c r="I35">
        <f>F35*12</f>
        <v>10988166.06</v>
      </c>
      <c r="J35">
        <f>Assumptions!$B$33+E35*Assumptions!$B$32</f>
        <v>117280.69</v>
      </c>
      <c r="K35">
        <f>C35*Assumptions!$B$34</f>
        <v>147000</v>
      </c>
      <c r="L35">
        <f>SUMPRODUCT((Assumptions!$E$37:$E$46&lt;=A35)*Assumptions!$B$37:$B$46)/12*(1+Assumptions!$B$47)</f>
        <v>67500</v>
      </c>
      <c r="M35">
        <f>INDEX(Assumptions!$B$50:$D$50,B35)</f>
        <v>20000</v>
      </c>
      <c r="N35">
        <f>INDEX(Assumptions!$B$51:$D$51,B35)</f>
        <v>8000</v>
      </c>
      <c r="O35">
        <f>J35+K35+L35+M35+N35+T35+U35</f>
        <v>464668.39</v>
      </c>
      <c r="P35">
        <f>H35-O35</f>
        <v>622687.12</v>
      </c>
      <c r="Q35">
        <f>Q34+P35</f>
        <v>5142744.62</v>
      </c>
      <c r="R35">
        <f>Q35+Assumptions!$B$53</f>
        <v>5142744.62</v>
      </c>
      <c r="S35">
        <f>SUMPRODUCT(--(Assumptions!$E$37:$E$46&lt;=A35))</f>
        <v>10</v>
      </c>
      <c r="T35">
        <f>C35*(INDEX(Assumptions!$B$22:$D$22,B35)+12*INDEX(Assumptions!$B$21:$D$21,B35))*Assumptions!$B$35</f>
        <v>96887.7</v>
      </c>
      <c r="U35">
        <f>INDEX(Assumptions!$B$52:$D$52,B35)</f>
        <v>8000</v>
      </c>
    </row>
    <row r="36">
      <c r="A36">
        <v>34</v>
      </c>
      <c r="B36">
        <f>INT((A36-1)/12)+1</f>
        <v>3</v>
      </c>
      <c r="C36">
        <f>IF(A36&lt;=Assumptions!$D$28,0,INDEX(Assumptions!$D$25:$D$27,B36))</f>
        <v>42</v>
      </c>
      <c r="D36">
        <f>E35*Assumptions!$B$29</f>
        <v>8.68</v>
      </c>
      <c r="E36">
        <f>E35+C36-D36</f>
        <v>612.22</v>
      </c>
      <c r="F36">
        <f>E36*INDEX(Assumptions!$B$21:$D$21,B36)</f>
        <v>968378.8</v>
      </c>
      <c r="G36">
        <f>C36*INDEX(Assumptions!$B$22:$D$22,B36)</f>
        <v>171675</v>
      </c>
      <c r="H36">
        <f>F36+G36</f>
        <v>1140053.8</v>
      </c>
      <c r="I36">
        <f>F36*12</f>
        <v>11620545.57</v>
      </c>
      <c r="J36">
        <f>Assumptions!$B$33+E36*Assumptions!$B$32</f>
        <v>123943.98</v>
      </c>
      <c r="K36">
        <f>C36*Assumptions!$B$34</f>
        <v>147000</v>
      </c>
      <c r="L36">
        <f>SUMPRODUCT((Assumptions!$E$37:$E$46&lt;=A36)*Assumptions!$B$37:$B$46)/12*(1+Assumptions!$B$47)</f>
        <v>67500</v>
      </c>
      <c r="M36">
        <f>INDEX(Assumptions!$B$50:$D$50,B36)</f>
        <v>20000</v>
      </c>
      <c r="N36">
        <f>INDEX(Assumptions!$B$51:$D$51,B36)</f>
        <v>8000</v>
      </c>
      <c r="O36">
        <f>J36+K36+L36+M36+N36+T36+U36</f>
        <v>471331.68</v>
      </c>
      <c r="P36">
        <f>H36-O36</f>
        <v>668722.12</v>
      </c>
      <c r="Q36">
        <f>Q35+P36</f>
        <v>5811466.74</v>
      </c>
      <c r="R36">
        <f>Q36+Assumptions!$B$53</f>
        <v>5811466.74</v>
      </c>
      <c r="S36">
        <f>SUMPRODUCT(--(Assumptions!$E$37:$E$46&lt;=A36))</f>
        <v>10</v>
      </c>
      <c r="T36">
        <f>C36*(INDEX(Assumptions!$B$22:$D$22,B36)+12*INDEX(Assumptions!$B$21:$D$21,B36))*Assumptions!$B$35</f>
        <v>96887.7</v>
      </c>
      <c r="U36">
        <f>INDEX(Assumptions!$B$52:$D$52,B36)</f>
        <v>8000</v>
      </c>
    </row>
    <row r="37">
      <c r="A37">
        <v>35</v>
      </c>
      <c r="B37">
        <f>INT((A37-1)/12)+1</f>
        <v>3</v>
      </c>
      <c r="C37">
        <f>IF(A37&lt;=Assumptions!$D$28,0,INDEX(Assumptions!$D$25:$D$27,B37))</f>
        <v>42</v>
      </c>
      <c r="D37">
        <f>E36*Assumptions!$B$29</f>
        <v>9.18</v>
      </c>
      <c r="E37">
        <f>E36+C37-D37</f>
        <v>645.04</v>
      </c>
      <c r="F37">
        <f>E37*INDEX(Assumptions!$B$21:$D$21,B37)</f>
        <v>1020286.62</v>
      </c>
      <c r="G37">
        <f>C37*INDEX(Assumptions!$B$22:$D$22,B37)</f>
        <v>171675</v>
      </c>
      <c r="H37">
        <f>F37+G37</f>
        <v>1191961.62</v>
      </c>
      <c r="I37">
        <f>F37*12</f>
        <v>12243439.39</v>
      </c>
      <c r="J37">
        <f>Assumptions!$B$33+E37*Assumptions!$B$32</f>
        <v>130507.32</v>
      </c>
      <c r="K37">
        <f>C37*Assumptions!$B$34</f>
        <v>147000</v>
      </c>
      <c r="L37">
        <f>SUMPRODUCT((Assumptions!$E$37:$E$46&lt;=A37)*Assumptions!$B$37:$B$46)/12*(1+Assumptions!$B$47)</f>
        <v>67500</v>
      </c>
      <c r="M37">
        <f>INDEX(Assumptions!$B$50:$D$50,B37)</f>
        <v>20000</v>
      </c>
      <c r="N37">
        <f>INDEX(Assumptions!$B$51:$D$51,B37)</f>
        <v>8000</v>
      </c>
      <c r="O37">
        <f>J37+K37+L37+M37+N37+T37+U37</f>
        <v>477895.02</v>
      </c>
      <c r="P37">
        <f>H37-O37</f>
        <v>714066.6</v>
      </c>
      <c r="Q37">
        <f>Q36+P37</f>
        <v>6525533.34</v>
      </c>
      <c r="R37">
        <f>Q37+Assumptions!$B$53</f>
        <v>6525533.34</v>
      </c>
      <c r="S37">
        <f>SUMPRODUCT(--(Assumptions!$E$37:$E$46&lt;=A37))</f>
        <v>10</v>
      </c>
      <c r="T37">
        <f>C37*(INDEX(Assumptions!$B$22:$D$22,B37)+12*INDEX(Assumptions!$B$21:$D$21,B37))*Assumptions!$B$35</f>
        <v>96887.7</v>
      </c>
      <c r="U37">
        <f>INDEX(Assumptions!$B$52:$D$52,B37)</f>
        <v>8000</v>
      </c>
    </row>
    <row r="38">
      <c r="A38">
        <v>36</v>
      </c>
      <c r="B38">
        <f>INT((A38-1)/12)+1</f>
        <v>3</v>
      </c>
      <c r="C38">
        <f>IF(A38&lt;=Assumptions!$D$28,0,INDEX(Assumptions!$D$25:$D$27,B38))</f>
        <v>42</v>
      </c>
      <c r="D38">
        <f>E37*Assumptions!$B$29</f>
        <v>9.68</v>
      </c>
      <c r="E38">
        <f>E37+C38-D38</f>
        <v>677.36</v>
      </c>
      <c r="F38">
        <f>E38*INDEX(Assumptions!$B$21:$D$21,B38)</f>
        <v>1071415.82</v>
      </c>
      <c r="G38">
        <f>C38*INDEX(Assumptions!$B$22:$D$22,B38)</f>
        <v>171675</v>
      </c>
      <c r="H38">
        <f>F38+G38</f>
        <v>1243090.82</v>
      </c>
      <c r="I38">
        <f>F38*12</f>
        <v>12856989.8</v>
      </c>
      <c r="J38">
        <f>Assumptions!$B$33+E38*Assumptions!$B$32</f>
        <v>136972.21</v>
      </c>
      <c r="K38">
        <f>C38*Assumptions!$B$34</f>
        <v>147000</v>
      </c>
      <c r="L38">
        <f>SUMPRODUCT((Assumptions!$E$37:$E$46&lt;=A38)*Assumptions!$B$37:$B$46)/12*(1+Assumptions!$B$47)</f>
        <v>67500</v>
      </c>
      <c r="M38">
        <f>INDEX(Assumptions!$B$50:$D$50,B38)</f>
        <v>20000</v>
      </c>
      <c r="N38">
        <f>INDEX(Assumptions!$B$51:$D$51,B38)</f>
        <v>8000</v>
      </c>
      <c r="O38">
        <f>J38+K38+L38+M38+N38+T38+U38</f>
        <v>484359.91</v>
      </c>
      <c r="P38">
        <f>H38-O38</f>
        <v>758730.91</v>
      </c>
      <c r="Q38">
        <f>Q37+P38</f>
        <v>7284264.25</v>
      </c>
      <c r="R38">
        <f>Q38+Assumptions!$B$53</f>
        <v>7284264.25</v>
      </c>
      <c r="S38">
        <f>SUMPRODUCT(--(Assumptions!$E$37:$E$46&lt;=A38))</f>
        <v>10</v>
      </c>
      <c r="T38">
        <f>C38*(INDEX(Assumptions!$B$22:$D$22,B38)+12*INDEX(Assumptions!$B$21:$D$21,B38))*Assumptions!$B$35</f>
        <v>96887.7</v>
      </c>
      <c r="U38">
        <f>INDEX(Assumptions!$B$52:$D$52,B38)</f>
        <v>8000</v>
      </c>
    </row>
    <row r="40">
      <c r="A40" t="str">
        <v>Annual summary</v>
      </c>
    </row>
    <row r="41">
      <c r="A41" t="str">
        <v>Year</v>
      </c>
      <c r="B41" t="str">
        <v/>
      </c>
      <c r="C41" t="str">
        <v>New sites</v>
      </c>
      <c r="D41" t="str">
        <v>Churned</v>
      </c>
      <c r="E41" t="str">
        <v>Sites at year end</v>
      </c>
      <c r="F41" t="str">
        <v>Subscription revenue</v>
      </c>
      <c r="G41" t="str">
        <v>Setup revenue</v>
      </c>
      <c r="H41" t="str">
        <v>Total revenue</v>
      </c>
      <c r="I41" t="str">
        <v>ARR exit rate</v>
      </c>
      <c r="J41" t="str">
        <v>Model + hosting</v>
      </c>
      <c r="K41" t="str">
        <v>Onboarding</v>
      </c>
      <c r="L41" t="str">
        <v>Staff</v>
      </c>
      <c r="M41" t="str">
        <v>Sales &amp; marketing</v>
      </c>
      <c r="N41" t="str">
        <v>Overheads</v>
      </c>
      <c r="O41" t="str">
        <v>Total costs</v>
      </c>
      <c r="P41" t="str">
        <v>EBITDA</v>
      </c>
      <c r="Q41" t="str">
        <v>Cumulative EBITDA (end)</v>
      </c>
      <c r="R41" t="str">
        <v>Cash (end)</v>
      </c>
      <c r="S41" t="str">
        <v>Headcount (end)</v>
      </c>
      <c r="T41" t="str">
        <v>Sales commission</v>
      </c>
      <c r="U41" t="str">
        <v>Contractors</v>
      </c>
    </row>
    <row r="42">
      <c r="A42">
        <v>1</v>
      </c>
      <c r="C42">
        <f>SUMIF($B$3:$B$38,A42,C$3:C$38)</f>
        <v>65</v>
      </c>
      <c r="D42">
        <f>SUMIF($B$3:$B$38,A42,D$3:D$38)</f>
        <v>4.22</v>
      </c>
      <c r="E42">
        <f>E14</f>
        <v>60.78</v>
      </c>
      <c r="F42">
        <f>SUMIF($B$3:$B$38,A42,F$3:F$38)</f>
        <v>424621.34</v>
      </c>
      <c r="G42">
        <f>SUMIF($B$3:$B$38,A42,G$3:G$38)</f>
        <v>300625</v>
      </c>
      <c r="H42">
        <f>SUMIF($B$3:$B$38,A42,H$3:H$38)</f>
        <v>725246.34</v>
      </c>
      <c r="I42">
        <f>I14</f>
        <v>905916.91</v>
      </c>
      <c r="J42">
        <f>SUMIF($B$3:$B$38,A42,J$3:J$38)</f>
        <v>86377.03</v>
      </c>
      <c r="K42">
        <f>SUMIF($B$3:$B$38,A42,K$3:K$38)</f>
        <v>227500</v>
      </c>
      <c r="L42">
        <f>SUMIF($B$3:$B$38,A42,L$3:L$38)</f>
        <v>342000</v>
      </c>
      <c r="M42">
        <f>SUMIF($B$3:$B$38,A42,M$3:M$38)</f>
        <v>48000</v>
      </c>
      <c r="N42">
        <f>SUMIF($B$3:$B$38,A42,N$3:N$38)</f>
        <v>36000</v>
      </c>
      <c r="O42">
        <f>SUMIF($B$3:$B$38,A42,O$3:O$38)</f>
        <v>914815.53</v>
      </c>
      <c r="P42">
        <f>SUMIF($B$3:$B$38,A42,P$3:P$38)</f>
        <v>-189569.18</v>
      </c>
      <c r="Q42">
        <f>Q14</f>
        <v>-189569.18</v>
      </c>
      <c r="R42">
        <f>R14</f>
        <v>-189569.18</v>
      </c>
      <c r="S42">
        <f>S14</f>
        <v>6</v>
      </c>
      <c r="T42">
        <f>SUMIF($B$3:$B$38,A42,T$3:T$38)</f>
        <v>126938.5</v>
      </c>
      <c r="U42">
        <f>SUMIF($B$3:$B$38,A42,U$3:U$38)</f>
        <v>48000</v>
      </c>
    </row>
    <row r="43">
      <c r="A43">
        <v>2</v>
      </c>
      <c r="C43">
        <f>SUMIF($B$3:$B$38,A43,C$3:C$38)</f>
        <v>222</v>
      </c>
      <c r="D43">
        <f>SUMIF($B$3:$B$38,A43,D$3:D$38)</f>
        <v>27.51</v>
      </c>
      <c r="E43">
        <f>E26</f>
        <v>255.27</v>
      </c>
      <c r="F43">
        <f>SUMIF($B$3:$B$38,A43,F$3:F$38)</f>
        <v>3083450.82</v>
      </c>
      <c r="G43">
        <f>SUMIF($B$3:$B$38,A43,G$3:G$38)</f>
        <v>933325</v>
      </c>
      <c r="H43">
        <f>SUMIF($B$3:$B$38,A43,H$3:H$38)</f>
        <v>4016775.82</v>
      </c>
      <c r="I43">
        <f>I26</f>
        <v>4656161.5</v>
      </c>
      <c r="J43">
        <f>SUMIF($B$3:$B$38,A43,J$3:J$38)</f>
        <v>423717.21</v>
      </c>
      <c r="K43">
        <f>SUMIF($B$3:$B$38,A43,K$3:K$38)</f>
        <v>777000</v>
      </c>
      <c r="L43">
        <f>SUMIF($B$3:$B$38,A43,L$3:L$38)</f>
        <v>594000</v>
      </c>
      <c r="M43">
        <f>SUMIF($B$3:$B$38,A43,M$3:M$38)</f>
        <v>120000</v>
      </c>
      <c r="N43">
        <f>SUMIF($B$3:$B$38,A43,N$3:N$38)</f>
        <v>60000</v>
      </c>
      <c r="O43">
        <f>SUMIF($B$3:$B$38,A43,O$3:O$38)</f>
        <v>2544977.71</v>
      </c>
      <c r="P43">
        <f>SUMIF($B$3:$B$38,A43,P$3:P$38)</f>
        <v>1471798.11</v>
      </c>
      <c r="Q43">
        <f>Q26</f>
        <v>1282228.93</v>
      </c>
      <c r="R43">
        <f>R26</f>
        <v>1282228.93</v>
      </c>
      <c r="S43">
        <f>S26</f>
        <v>10</v>
      </c>
      <c r="T43">
        <f>SUMIF($B$3:$B$38,A43,T$3:T$38)</f>
        <v>498260.5</v>
      </c>
      <c r="U43">
        <f>SUMIF($B$3:$B$38,A43,U$3:U$38)</f>
        <v>72000</v>
      </c>
    </row>
    <row r="44">
      <c r="A44">
        <v>3</v>
      </c>
      <c r="C44">
        <f>SUMIF($B$3:$B$38,A44,C$3:C$38)</f>
        <v>504</v>
      </c>
      <c r="D44">
        <f>SUMIF($B$3:$B$38,A44,D$3:D$38)</f>
        <v>81.91</v>
      </c>
      <c r="E44">
        <f>E38</f>
        <v>677.36</v>
      </c>
      <c r="F44">
        <f>SUMIF($B$3:$B$38,A44,F$3:F$38)</f>
        <v>9305151.89</v>
      </c>
      <c r="G44">
        <f>SUMIF($B$3:$B$38,A44,G$3:G$38)</f>
        <v>2060100</v>
      </c>
      <c r="H44">
        <f>SUMIF($B$3:$B$38,A44,H$3:H$38)</f>
        <v>11365251.89</v>
      </c>
      <c r="I44">
        <f>I38</f>
        <v>12856989.8</v>
      </c>
      <c r="J44">
        <f>SUMIF($B$3:$B$38,A44,J$3:J$38)</f>
        <v>1194564.17</v>
      </c>
      <c r="K44">
        <f>SUMIF($B$3:$B$38,A44,K$3:K$38)</f>
        <v>1764000</v>
      </c>
      <c r="L44">
        <f>SUMIF($B$3:$B$38,A44,L$3:L$38)</f>
        <v>810000</v>
      </c>
      <c r="M44">
        <f>SUMIF($B$3:$B$38,A44,M$3:M$38)</f>
        <v>240000</v>
      </c>
      <c r="N44">
        <f>SUMIF($B$3:$B$38,A44,N$3:N$38)</f>
        <v>96000</v>
      </c>
      <c r="O44">
        <f>SUMIF($B$3:$B$38,A44,O$3:O$38)</f>
        <v>5363216.57</v>
      </c>
      <c r="P44">
        <f>SUMIF($B$3:$B$38,A44,P$3:P$38)</f>
        <v>6002035.32</v>
      </c>
      <c r="Q44">
        <f>Q38</f>
        <v>7284264.25</v>
      </c>
      <c r="R44">
        <f>R38</f>
        <v>7284264.25</v>
      </c>
      <c r="S44">
        <f>S38</f>
        <v>10</v>
      </c>
      <c r="T44">
        <f>SUMIF($B$3:$B$38,A44,T$3:T$38)</f>
        <v>1162652.4</v>
      </c>
      <c r="U44">
        <f>SUMIF($B$3:$B$38,A44,U$3:U$38)</f>
        <v>96000</v>
      </c>
    </row>
    <row r="46">
      <c r="A46" t="str">
        <v>Peak funding need (minimum cumulative EBITDA, before any funding)</v>
      </c>
      <c r="Q46">
        <f>MIN(Q3:Q38)</f>
        <v>-191524.21</v>
      </c>
    </row>
    <row r="47">
      <c r="A47" t="str">
        <v>First month with positive EBITDA</v>
      </c>
      <c r="Q47">
        <f>IFERROR(INDEX(A3:A38,MATCH(TRUE,INDEX(P3:P38&gt;0,0),0)),0)</f>
        <v>9</v>
      </c>
    </row>
  </sheetData>
  <ignoredErrors>
    <ignoredError numberStoredAsText="1" sqref="A1:U4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Assumptions</vt:lpstr>
      <vt:lpstr>Base</vt:lpstr>
      <vt:lpstr>Bear</vt:lpstr>
      <vt:lpstr>Bull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